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jordan6\AppData\Local\Microsoft\Windows\INetCache\Content.Outlook\KGC2A34P\"/>
    </mc:Choice>
  </mc:AlternateContent>
  <bookViews>
    <workbookView xWindow="0" yWindow="0" windowWidth="10065" windowHeight="5550"/>
  </bookViews>
  <sheets>
    <sheet name="All-Current" sheetId="1" r:id="rId1"/>
    <sheet name="Bioscience-Current" sheetId="2" r:id="rId2"/>
    <sheet name="Engineering-Current" sheetId="3" r:id="rId3"/>
    <sheet name="DataScience-Current" sheetId="4" r:id="rId4"/>
    <sheet name="Elective-Current" sheetId="5" r:id="rId5"/>
    <sheet name="DataScience-Former" sheetId="6" state="hidden" r:id="rId6"/>
    <sheet name="Engineering-Former" sheetId="7" state="hidden" r:id="rId7"/>
  </sheets>
  <calcPr calcId="162913"/>
</workbook>
</file>

<file path=xl/calcChain.xml><?xml version="1.0" encoding="utf-8"?>
<calcChain xmlns="http://schemas.openxmlformats.org/spreadsheetml/2006/main">
  <c r="E49" i="5" l="1"/>
  <c r="E45" i="3"/>
  <c r="D9" i="5"/>
  <c r="C31" i="4"/>
  <c r="D12" i="4"/>
  <c r="D28" i="3"/>
  <c r="A1" i="5"/>
  <c r="A34" i="4"/>
  <c r="A31" i="5"/>
  <c r="B5" i="4"/>
  <c r="A9" i="3"/>
  <c r="B10" i="2"/>
  <c r="A44" i="5"/>
  <c r="B34" i="3"/>
  <c r="E15" i="5"/>
  <c r="A7" i="4"/>
  <c r="A23" i="5"/>
  <c r="C38" i="4"/>
  <c r="E2" i="2"/>
  <c r="C23" i="4"/>
  <c r="E19" i="5"/>
  <c r="B6" i="4"/>
  <c r="B5" i="2"/>
  <c r="D21" i="4"/>
  <c r="D12" i="5"/>
  <c r="A3" i="2"/>
  <c r="D19" i="5"/>
  <c r="C36" i="4"/>
  <c r="G1" i="4"/>
  <c r="B3" i="5"/>
  <c r="F5" i="3"/>
  <c r="A8" i="4"/>
  <c r="A33" i="3"/>
  <c r="C5" i="4"/>
  <c r="A23" i="3"/>
  <c r="B37" i="4"/>
  <c r="B15" i="5"/>
  <c r="D25" i="3"/>
  <c r="E20" i="5"/>
  <c r="C30" i="5"/>
  <c r="A30" i="5"/>
  <c r="B2" i="3"/>
  <c r="E24" i="5"/>
  <c r="C5" i="5"/>
  <c r="A34" i="3"/>
  <c r="D2" i="4"/>
  <c r="C4" i="2"/>
  <c r="D4" i="2"/>
  <c r="A23" i="4"/>
  <c r="E42" i="3"/>
  <c r="A41" i="5"/>
  <c r="B15" i="3"/>
  <c r="E8" i="4"/>
  <c r="A14" i="3"/>
  <c r="E33" i="4"/>
  <c r="B20" i="3"/>
  <c r="D30" i="3"/>
  <c r="E5" i="2"/>
  <c r="B21" i="3"/>
  <c r="A11" i="5"/>
  <c r="E27" i="3"/>
  <c r="B9" i="4"/>
  <c r="D28" i="5"/>
  <c r="B9" i="3"/>
  <c r="A46" i="5"/>
  <c r="F1" i="4"/>
  <c r="D26" i="3"/>
  <c r="E25" i="5"/>
  <c r="C18" i="3"/>
  <c r="C20" i="4"/>
  <c r="B12" i="3"/>
  <c r="A22" i="4"/>
  <c r="A43" i="5"/>
  <c r="E12" i="3"/>
  <c r="E3" i="4"/>
  <c r="A14" i="5"/>
  <c r="A34" i="5"/>
  <c r="D30" i="5"/>
  <c r="C28" i="5"/>
  <c r="A9" i="5"/>
  <c r="D36" i="5"/>
  <c r="C29" i="3"/>
  <c r="E28" i="5"/>
  <c r="E13" i="4"/>
  <c r="A12" i="5"/>
  <c r="A2" i="3"/>
  <c r="E1" i="3"/>
  <c r="D44" i="5"/>
  <c r="A37" i="5"/>
  <c r="C33" i="3"/>
  <c r="D29" i="4"/>
  <c r="C19" i="5"/>
  <c r="C1" i="3"/>
  <c r="B43" i="3"/>
  <c r="B17" i="2"/>
  <c r="E26" i="3"/>
  <c r="B16" i="2"/>
  <c r="D15" i="3"/>
  <c r="B28" i="4"/>
  <c r="A7" i="3"/>
  <c r="E44" i="3"/>
  <c r="A48" i="5"/>
  <c r="A42" i="5"/>
  <c r="A7" i="2"/>
  <c r="E13" i="2"/>
  <c r="A10" i="4"/>
  <c r="A21" i="4"/>
  <c r="C13" i="5"/>
  <c r="D7" i="5"/>
  <c r="F5" i="4"/>
  <c r="E1" i="5"/>
  <c r="E23" i="4"/>
  <c r="B11" i="5"/>
  <c r="B10" i="4"/>
  <c r="B31" i="4"/>
  <c r="C33" i="4"/>
  <c r="D2" i="5"/>
  <c r="A11" i="2"/>
  <c r="A17" i="2"/>
  <c r="B6" i="3"/>
  <c r="D15" i="2"/>
  <c r="A35" i="4"/>
  <c r="D17" i="5"/>
  <c r="C32" i="5"/>
  <c r="D11" i="2"/>
  <c r="C5" i="2"/>
  <c r="E26" i="4"/>
  <c r="A20" i="5"/>
  <c r="C2" i="5"/>
  <c r="E3" i="5"/>
  <c r="B45" i="5"/>
  <c r="B43" i="5"/>
  <c r="A2" i="2"/>
  <c r="A5" i="4"/>
  <c r="A21" i="3"/>
  <c r="C30" i="3"/>
  <c r="C12" i="2"/>
  <c r="C34" i="5"/>
  <c r="C1" i="2"/>
  <c r="C38" i="3"/>
  <c r="E14" i="5"/>
  <c r="D38" i="3"/>
  <c r="B49" i="5"/>
  <c r="C43" i="5"/>
  <c r="A13" i="4"/>
  <c r="C27" i="5"/>
  <c r="D46" i="5"/>
  <c r="D34" i="4"/>
  <c r="E5" i="3"/>
  <c r="E11" i="2"/>
  <c r="D16" i="2"/>
  <c r="D35" i="5"/>
  <c r="A14" i="4"/>
  <c r="E27" i="4"/>
  <c r="E7" i="5"/>
  <c r="C33" i="5"/>
  <c r="F3" i="4"/>
  <c r="B19" i="3"/>
  <c r="C38" i="5"/>
  <c r="C36" i="3"/>
  <c r="B11" i="2"/>
  <c r="E12" i="5"/>
  <c r="C1" i="5"/>
  <c r="C11" i="4"/>
  <c r="D14" i="2"/>
  <c r="E8" i="2"/>
  <c r="E35" i="4"/>
  <c r="B8" i="4"/>
  <c r="B42" i="5"/>
  <c r="C15" i="4"/>
  <c r="D43" i="5"/>
  <c r="B30" i="4"/>
  <c r="E21" i="3"/>
  <c r="B24" i="5"/>
  <c r="C39" i="5"/>
  <c r="C16" i="5"/>
  <c r="C24" i="3"/>
  <c r="A36" i="3"/>
  <c r="D18" i="4"/>
  <c r="D19" i="3"/>
  <c r="D10" i="2"/>
  <c r="D25" i="4"/>
  <c r="C3" i="4"/>
  <c r="B48" i="5"/>
  <c r="E42" i="5"/>
  <c r="C21" i="4"/>
  <c r="E19" i="3"/>
  <c r="D3" i="3"/>
  <c r="C27" i="4"/>
  <c r="B7" i="3"/>
  <c r="D41" i="5"/>
  <c r="C6" i="5"/>
  <c r="D36" i="4"/>
  <c r="A40" i="3"/>
  <c r="A5" i="2"/>
  <c r="B7" i="2"/>
  <c r="E11" i="4"/>
  <c r="E16" i="4"/>
  <c r="B27" i="3"/>
  <c r="E45" i="5"/>
  <c r="B3" i="3"/>
  <c r="C9" i="3"/>
  <c r="B2" i="4"/>
  <c r="B15" i="4"/>
  <c r="C10" i="2"/>
  <c r="A17" i="4"/>
  <c r="B13" i="3"/>
  <c r="D15" i="4"/>
  <c r="C25" i="4"/>
  <c r="B24" i="4"/>
  <c r="D9" i="2"/>
  <c r="E4" i="2"/>
  <c r="E2" i="3"/>
  <c r="C6" i="2"/>
  <c r="E28" i="3"/>
  <c r="B29" i="5"/>
  <c r="D20" i="3"/>
  <c r="E10" i="2"/>
  <c r="B14" i="2"/>
  <c r="F1" i="2"/>
  <c r="E4" i="5"/>
  <c r="C46" i="5"/>
  <c r="A11" i="4"/>
  <c r="E14" i="4"/>
  <c r="F6" i="4"/>
  <c r="E17" i="5"/>
  <c r="E4" i="3"/>
  <c r="C29" i="5"/>
  <c r="B16" i="5"/>
  <c r="D6" i="2"/>
  <c r="A8" i="5"/>
  <c r="D2" i="3"/>
  <c r="A9" i="4"/>
  <c r="A43" i="3"/>
  <c r="D23" i="3"/>
  <c r="A27" i="5"/>
  <c r="B24" i="3"/>
  <c r="C20" i="3"/>
  <c r="B35" i="3"/>
  <c r="C9" i="5"/>
  <c r="B8" i="3"/>
  <c r="C42" i="3"/>
  <c r="A25" i="3"/>
  <c r="B17" i="3"/>
  <c r="B14" i="3"/>
  <c r="B12" i="4"/>
  <c r="C29" i="4"/>
  <c r="E12" i="2"/>
  <c r="B47" i="5"/>
  <c r="E3" i="2"/>
  <c r="G4" i="3"/>
  <c r="A13" i="3"/>
  <c r="B45" i="3"/>
  <c r="D11" i="3"/>
  <c r="D6" i="3"/>
  <c r="A9" i="2"/>
  <c r="B41" i="5"/>
  <c r="D30" i="4"/>
  <c r="D32" i="4"/>
  <c r="D16" i="5"/>
  <c r="D45" i="5"/>
  <c r="C2" i="3"/>
  <c r="B38" i="4"/>
  <c r="B3" i="2"/>
  <c r="C10" i="4"/>
  <c r="C15" i="5"/>
  <c r="D40" i="3"/>
  <c r="E7" i="4"/>
  <c r="C25" i="3"/>
  <c r="C34" i="4"/>
  <c r="C15" i="3"/>
  <c r="E24" i="4"/>
  <c r="C31" i="3"/>
  <c r="D42" i="3"/>
  <c r="A6" i="2"/>
  <c r="E7" i="2"/>
  <c r="C13" i="2"/>
  <c r="D33" i="5"/>
  <c r="B38" i="3"/>
  <c r="D13" i="2"/>
  <c r="E10" i="4"/>
  <c r="B16" i="4"/>
  <c r="B13" i="2"/>
  <c r="A15" i="2"/>
  <c r="D18" i="2"/>
  <c r="E19" i="4"/>
  <c r="B7" i="5"/>
  <c r="C34" i="3"/>
  <c r="A12" i="2"/>
  <c r="A6" i="5"/>
  <c r="A35" i="5"/>
  <c r="C20" i="5"/>
  <c r="A17" i="3"/>
  <c r="D2" i="2"/>
  <c r="A5" i="3"/>
  <c r="C17" i="3"/>
  <c r="D7" i="3"/>
  <c r="C32" i="4"/>
  <c r="C17" i="2"/>
  <c r="A29" i="3"/>
  <c r="A1" i="3"/>
  <c r="E32" i="4"/>
  <c r="E29" i="5"/>
  <c r="C6" i="4"/>
  <c r="F7" i="4"/>
  <c r="C37" i="3"/>
  <c r="A10" i="2"/>
  <c r="A2" i="5"/>
  <c r="A38" i="4"/>
  <c r="A37" i="3"/>
  <c r="E8" i="3"/>
  <c r="A16" i="5"/>
  <c r="B23" i="4"/>
  <c r="A24" i="3"/>
  <c r="C24" i="5"/>
  <c r="E22" i="4"/>
  <c r="D20" i="5"/>
  <c r="A35" i="3"/>
  <c r="B13" i="4"/>
  <c r="B21" i="4"/>
  <c r="G6" i="4"/>
  <c r="F1" i="5"/>
  <c r="A16" i="2"/>
  <c r="E28" i="4"/>
  <c r="D27" i="4"/>
  <c r="B19" i="4"/>
  <c r="E2" i="5"/>
  <c r="B20" i="5"/>
  <c r="B41" i="3"/>
  <c r="E36" i="4"/>
  <c r="E13" i="3"/>
  <c r="E36" i="5"/>
  <c r="A20" i="3"/>
  <c r="E2" i="4"/>
  <c r="B8" i="5"/>
  <c r="A45" i="3"/>
  <c r="C21" i="5"/>
  <c r="B33" i="4"/>
  <c r="E47" i="5"/>
  <c r="B28" i="3"/>
  <c r="E10" i="3"/>
  <c r="E34" i="4"/>
  <c r="B1" i="3"/>
  <c r="A4" i="4"/>
  <c r="B27" i="4"/>
  <c r="D42" i="5"/>
  <c r="E27" i="5"/>
  <c r="C4" i="5"/>
  <c r="E38" i="5"/>
  <c r="A30" i="3"/>
  <c r="D3" i="4"/>
  <c r="D13" i="4"/>
  <c r="E38" i="4"/>
  <c r="E41" i="3"/>
  <c r="A17" i="5"/>
  <c r="E1" i="4"/>
  <c r="D32" i="3"/>
  <c r="B32" i="3"/>
  <c r="B3" i="4"/>
  <c r="A24" i="4"/>
  <c r="D17" i="2"/>
  <c r="F7" i="3"/>
  <c r="E43" i="3"/>
  <c r="B33" i="3"/>
  <c r="E24" i="3"/>
  <c r="D31" i="4"/>
  <c r="E3" i="3"/>
  <c r="A14" i="2"/>
  <c r="C18" i="5"/>
  <c r="A38" i="3"/>
  <c r="B15" i="2"/>
  <c r="C27" i="3"/>
  <c r="A15" i="5"/>
  <c r="C28" i="4"/>
  <c r="D24" i="5"/>
  <c r="A38" i="5"/>
  <c r="B19" i="5"/>
  <c r="B21" i="5"/>
  <c r="C43" i="3"/>
  <c r="D22" i="3"/>
  <c r="D34" i="5"/>
  <c r="D8" i="5"/>
  <c r="C11" i="5"/>
  <c r="D29" i="3"/>
  <c r="A8" i="2"/>
  <c r="C30" i="4"/>
  <c r="C9" i="2"/>
  <c r="A45" i="5"/>
  <c r="E18" i="3"/>
  <c r="E17" i="3"/>
  <c r="A5" i="5"/>
  <c r="E16" i="5"/>
  <c r="B10" i="5"/>
  <c r="B9" i="5"/>
  <c r="C17" i="4"/>
  <c r="D8" i="4"/>
  <c r="E17" i="2"/>
  <c r="A10" i="5"/>
  <c r="E6" i="5"/>
  <c r="E23" i="3"/>
  <c r="E14" i="3"/>
  <c r="B23" i="3"/>
  <c r="D1" i="2"/>
  <c r="C16" i="2"/>
  <c r="A29" i="5"/>
  <c r="B4" i="4"/>
  <c r="B2" i="5"/>
  <c r="B30" i="5"/>
  <c r="C44" i="5"/>
  <c r="C2" i="4"/>
  <c r="F8" i="4"/>
  <c r="D22" i="4"/>
  <c r="A4" i="3"/>
  <c r="C7" i="3"/>
  <c r="D17" i="3"/>
  <c r="D32" i="5"/>
  <c r="C9" i="4"/>
  <c r="D22" i="5"/>
  <c r="A18" i="4"/>
  <c r="C19" i="4"/>
  <c r="E16" i="2"/>
  <c r="D7" i="4"/>
  <c r="B18" i="3"/>
  <c r="B22" i="5"/>
  <c r="A22" i="3"/>
  <c r="B13" i="5"/>
  <c r="G1" i="2"/>
  <c r="C24" i="4"/>
  <c r="D43" i="3"/>
  <c r="B23" i="5"/>
  <c r="C5" i="3"/>
  <c r="C45" i="5"/>
  <c r="E38" i="3"/>
  <c r="D37" i="3"/>
  <c r="C22" i="3"/>
  <c r="E31" i="5"/>
  <c r="E39" i="3"/>
  <c r="E21" i="5"/>
  <c r="D38" i="5"/>
  <c r="B17" i="5"/>
  <c r="A39" i="5"/>
  <c r="A31" i="4"/>
  <c r="C23" i="5"/>
  <c r="D21" i="5"/>
  <c r="D45" i="3"/>
  <c r="A27" i="3"/>
  <c r="A7" i="5"/>
  <c r="B5" i="3"/>
  <c r="C8" i="4"/>
  <c r="F4" i="3"/>
  <c r="C26" i="3"/>
  <c r="A36" i="4"/>
  <c r="D31" i="5"/>
  <c r="C22" i="4"/>
  <c r="C10" i="5"/>
  <c r="A19" i="4"/>
  <c r="D20" i="4"/>
  <c r="E15" i="2"/>
  <c r="E23" i="5"/>
  <c r="D1" i="4"/>
  <c r="B22" i="3"/>
  <c r="C12" i="4"/>
  <c r="D8" i="3"/>
  <c r="F6" i="3"/>
  <c r="B14" i="5"/>
  <c r="C45" i="3"/>
  <c r="C18" i="2"/>
  <c r="A41" i="3"/>
  <c r="C37" i="5"/>
  <c r="D4" i="4"/>
  <c r="D11" i="5"/>
  <c r="C49" i="5"/>
  <c r="E15" i="4"/>
  <c r="A31" i="3"/>
  <c r="D47" i="5"/>
  <c r="F1" i="3"/>
  <c r="B6" i="2"/>
  <c r="A8" i="3"/>
  <c r="B11" i="4"/>
  <c r="D39" i="5"/>
  <c r="D1" i="5"/>
  <c r="E34" i="3"/>
  <c r="E5" i="4"/>
  <c r="E35" i="5"/>
  <c r="B44" i="5"/>
  <c r="E40" i="3"/>
  <c r="A47" i="5"/>
  <c r="B35" i="4"/>
  <c r="B10" i="3"/>
  <c r="C7" i="5"/>
  <c r="A24" i="5"/>
  <c r="D44" i="3"/>
  <c r="D38" i="4"/>
  <c r="B1" i="5"/>
  <c r="A3" i="5"/>
  <c r="A16" i="4"/>
  <c r="E22" i="5"/>
  <c r="D26" i="5"/>
  <c r="A49" i="5"/>
  <c r="B40" i="3"/>
  <c r="E9" i="4"/>
  <c r="E32" i="5"/>
  <c r="E29" i="4"/>
  <c r="D18" i="5"/>
  <c r="E46" i="5"/>
  <c r="B25" i="4"/>
  <c r="A3" i="3"/>
  <c r="A18" i="2"/>
  <c r="D10" i="3"/>
  <c r="B11" i="3"/>
  <c r="D18" i="3"/>
  <c r="E15" i="3"/>
  <c r="D10" i="5"/>
  <c r="B9" i="2"/>
  <c r="B12" i="5"/>
  <c r="D8" i="2"/>
  <c r="D4" i="5"/>
  <c r="B46" i="5"/>
  <c r="E25" i="4"/>
  <c r="D1" i="3"/>
  <c r="D49" i="5"/>
  <c r="C22" i="5"/>
  <c r="A2" i="4"/>
  <c r="B26" i="5"/>
  <c r="A13" i="2"/>
  <c r="C4" i="4"/>
  <c r="B4" i="2"/>
  <c r="D19" i="4"/>
  <c r="A40" i="5"/>
  <c r="E11" i="3"/>
  <c r="A19" i="5"/>
  <c r="C14" i="3"/>
  <c r="D36" i="3"/>
  <c r="F2" i="4"/>
  <c r="B28" i="5"/>
  <c r="B25" i="5"/>
  <c r="B39" i="3"/>
  <c r="F8" i="3"/>
  <c r="A25" i="5"/>
  <c r="D40" i="5"/>
  <c r="C35" i="3"/>
  <c r="E9" i="3"/>
  <c r="D16" i="4"/>
  <c r="A42" i="3"/>
  <c r="B17" i="4"/>
  <c r="A15" i="3"/>
  <c r="A26" i="4"/>
  <c r="E48" i="5"/>
  <c r="B36" i="5"/>
  <c r="C26" i="4"/>
  <c r="A15" i="4"/>
  <c r="E9" i="2"/>
  <c r="E20" i="3"/>
  <c r="D16" i="3"/>
  <c r="E34" i="5"/>
  <c r="A37" i="4"/>
  <c r="C39" i="3"/>
  <c r="C23" i="3"/>
  <c r="A18" i="3"/>
  <c r="D5" i="2"/>
  <c r="E5" i="5"/>
  <c r="B31" i="3"/>
  <c r="D5" i="3"/>
  <c r="E20" i="4"/>
  <c r="F3" i="3"/>
  <c r="B38" i="5"/>
  <c r="D48" i="5"/>
  <c r="A25" i="4"/>
  <c r="D23" i="5"/>
  <c r="B7" i="4"/>
  <c r="E7" i="3"/>
  <c r="C11" i="3"/>
  <c r="E41" i="5"/>
  <c r="E10" i="5"/>
  <c r="D28" i="4"/>
  <c r="C47" i="5"/>
  <c r="C8" i="5"/>
  <c r="E8" i="5"/>
  <c r="D17" i="4"/>
  <c r="B4" i="3"/>
  <c r="C16" i="3"/>
  <c r="A21" i="5"/>
  <c r="B8" i="2"/>
  <c r="A16" i="3"/>
  <c r="D15" i="5"/>
  <c r="C12" i="5"/>
  <c r="D27" i="5"/>
  <c r="E6" i="3"/>
  <c r="E30" i="4"/>
  <c r="D29" i="5"/>
  <c r="C28" i="3"/>
  <c r="D31" i="3"/>
  <c r="E6" i="2"/>
  <c r="B1" i="4"/>
  <c r="B36" i="3"/>
  <c r="E21" i="4"/>
  <c r="A28" i="3"/>
  <c r="C14" i="5"/>
  <c r="B18" i="2"/>
  <c r="D13" i="5"/>
  <c r="E44" i="5"/>
  <c r="D33" i="4"/>
  <c r="C48" i="5"/>
  <c r="E11" i="5"/>
  <c r="G6" i="3"/>
  <c r="B18" i="5"/>
  <c r="B2" i="2"/>
  <c r="B40" i="5"/>
  <c r="E30" i="3"/>
  <c r="A1" i="4"/>
  <c r="E12" i="4"/>
  <c r="B12" i="2"/>
  <c r="B26" i="4"/>
  <c r="C11" i="2"/>
  <c r="A13" i="5"/>
  <c r="C7" i="4"/>
  <c r="E17" i="4"/>
  <c r="F2" i="3"/>
  <c r="E33" i="5"/>
  <c r="A33" i="4"/>
  <c r="E30" i="5"/>
  <c r="D6" i="4"/>
  <c r="A20" i="4"/>
  <c r="A12" i="4"/>
  <c r="B33" i="5"/>
  <c r="D10" i="4"/>
  <c r="C14" i="2"/>
  <c r="A26" i="3"/>
  <c r="A36" i="5"/>
  <c r="C21" i="3"/>
  <c r="C41" i="5"/>
  <c r="D5" i="5"/>
  <c r="D24" i="3"/>
  <c r="B26" i="3"/>
  <c r="E25" i="3"/>
  <c r="C7" i="2"/>
  <c r="C10" i="3"/>
  <c r="E22" i="3"/>
  <c r="E14" i="2"/>
  <c r="D24" i="4"/>
  <c r="E16" i="3"/>
  <c r="E32" i="3"/>
  <c r="E18" i="5"/>
  <c r="C35" i="4"/>
  <c r="B22" i="4"/>
  <c r="C37" i="4"/>
  <c r="D41" i="3"/>
  <c r="B35" i="5"/>
  <c r="A12" i="3"/>
  <c r="D7" i="2"/>
  <c r="E13" i="5"/>
  <c r="A33" i="5"/>
  <c r="D12" i="2"/>
  <c r="B30" i="3"/>
  <c r="C4" i="3"/>
  <c r="C2" i="2"/>
  <c r="C14" i="4"/>
  <c r="B29" i="4"/>
  <c r="E40" i="5"/>
  <c r="C12" i="3"/>
  <c r="B18" i="4"/>
  <c r="G4" i="4"/>
  <c r="E1" i="2"/>
  <c r="C19" i="3"/>
  <c r="C8" i="2"/>
  <c r="A28" i="4"/>
  <c r="E18" i="2"/>
  <c r="A44" i="3"/>
  <c r="C25" i="5"/>
  <c r="B32" i="4"/>
  <c r="F4" i="4"/>
  <c r="A11" i="3"/>
  <c r="C6" i="3"/>
  <c r="A6" i="4"/>
  <c r="D26" i="4"/>
  <c r="A18" i="5"/>
  <c r="E26" i="5"/>
  <c r="A6" i="3"/>
  <c r="D9" i="4"/>
  <c r="B34" i="4"/>
  <c r="D23" i="4"/>
  <c r="A10" i="3"/>
  <c r="E36" i="3"/>
  <c r="G1" i="3"/>
  <c r="A26" i="5"/>
  <c r="A4" i="2"/>
  <c r="D14" i="3"/>
  <c r="C35" i="5"/>
  <c r="C31" i="5"/>
  <c r="E18" i="4"/>
  <c r="D3" i="2"/>
  <c r="B36" i="4"/>
  <c r="E6" i="4"/>
  <c r="E31" i="4"/>
  <c r="C3" i="3"/>
  <c r="B34" i="5"/>
  <c r="E9" i="5"/>
  <c r="A1" i="2"/>
  <c r="A32" i="4"/>
  <c r="B32" i="5"/>
  <c r="D37" i="5"/>
  <c r="D12" i="3"/>
  <c r="G1" i="5"/>
  <c r="E35" i="3"/>
  <c r="C15" i="2"/>
  <c r="A32" i="3"/>
  <c r="A29" i="4"/>
  <c r="A3" i="4"/>
  <c r="B5" i="5"/>
  <c r="B31" i="5"/>
  <c r="A19" i="3"/>
  <c r="C3" i="2"/>
  <c r="E37" i="3"/>
  <c r="E37" i="5"/>
  <c r="E31" i="3"/>
  <c r="D14" i="4"/>
  <c r="A22" i="5"/>
  <c r="D27" i="3"/>
  <c r="B6" i="5"/>
  <c r="C40" i="5"/>
  <c r="B37" i="3"/>
  <c r="B44" i="3"/>
  <c r="D21" i="3"/>
  <c r="C32" i="3"/>
  <c r="D35" i="4"/>
  <c r="C8" i="3"/>
  <c r="D5" i="4"/>
  <c r="B20" i="4"/>
  <c r="B16" i="3"/>
  <c r="B25" i="3"/>
  <c r="E33" i="3"/>
  <c r="D9" i="3"/>
  <c r="B37" i="5"/>
  <c r="C42" i="5"/>
  <c r="E37" i="4"/>
  <c r="D34" i="3"/>
  <c r="E43" i="5"/>
  <c r="C36" i="5"/>
  <c r="B39" i="5"/>
  <c r="D6" i="5"/>
  <c r="B1" i="2"/>
  <c r="E29" i="3"/>
  <c r="C41" i="3"/>
  <c r="D13" i="3"/>
  <c r="C13" i="4"/>
  <c r="D4" i="3"/>
  <c r="C16" i="4"/>
  <c r="A28" i="5"/>
  <c r="A30" i="4"/>
  <c r="E39" i="5"/>
  <c r="D14" i="5"/>
  <c r="C1" i="4"/>
  <c r="C26" i="5"/>
  <c r="B14" i="4"/>
  <c r="D11" i="4"/>
  <c r="A4" i="5"/>
  <c r="A39" i="3"/>
  <c r="C44" i="3"/>
  <c r="B29" i="3"/>
  <c r="C3" i="5"/>
  <c r="D33" i="3"/>
  <c r="D3" i="5"/>
  <c r="B4" i="5"/>
  <c r="D35" i="3"/>
  <c r="C13" i="3"/>
  <c r="A32" i="5"/>
  <c r="B27" i="5"/>
  <c r="D25" i="5"/>
  <c r="D39" i="3"/>
  <c r="E4" i="4"/>
  <c r="A27" i="4"/>
  <c r="C40" i="3"/>
  <c r="B42" i="3"/>
  <c r="C18" i="4"/>
  <c r="C17" i="5"/>
  <c r="D37" i="4"/>
</calcChain>
</file>

<file path=xl/sharedStrings.xml><?xml version="1.0" encoding="utf-8"?>
<sst xmlns="http://schemas.openxmlformats.org/spreadsheetml/2006/main" count="1318" uniqueCount="338">
  <si>
    <t>Course Number</t>
  </si>
  <si>
    <t>Course Name</t>
  </si>
  <si>
    <t>Term Offered</t>
  </si>
  <si>
    <t>Frequency</t>
  </si>
  <si>
    <t>Category 1</t>
  </si>
  <si>
    <t>Category 2</t>
  </si>
  <si>
    <t>Cross-Listed As</t>
  </si>
  <si>
    <t>AE 6009</t>
  </si>
  <si>
    <t>Viscous fluid flow</t>
  </si>
  <si>
    <t>Fall</t>
  </si>
  <si>
    <t>Every Year</t>
  </si>
  <si>
    <t>Engineering</t>
  </si>
  <si>
    <t>AE 6511</t>
  </si>
  <si>
    <t>Optimal Guidance and Control</t>
  </si>
  <si>
    <t>Varies</t>
  </si>
  <si>
    <t>BMED 6210</t>
  </si>
  <si>
    <t>MRI</t>
  </si>
  <si>
    <t>Every other Year</t>
  </si>
  <si>
    <t>BMED 6739</t>
  </si>
  <si>
    <t>Medical Robotics</t>
  </si>
  <si>
    <t>Spring</t>
  </si>
  <si>
    <t>BMED 6743</t>
  </si>
  <si>
    <t>Tissue Mechanics</t>
  </si>
  <si>
    <t>BMED 6780</t>
  </si>
  <si>
    <t>Medical Image Processing</t>
  </si>
  <si>
    <t>BMED 6786</t>
  </si>
  <si>
    <t>Medical Imaging Systems</t>
  </si>
  <si>
    <t>Fall/Spring</t>
  </si>
  <si>
    <t>BMED 8813</t>
  </si>
  <si>
    <t>Optical Microscopy</t>
  </si>
  <si>
    <t>Robotics</t>
  </si>
  <si>
    <t>BMED/ChBE 6779</t>
  </si>
  <si>
    <t>Bioprocess Engineering</t>
  </si>
  <si>
    <t>BMED/ME 6720</t>
  </si>
  <si>
    <t>Biotransport</t>
  </si>
  <si>
    <t>CHBE 6260</t>
  </si>
  <si>
    <t>Advanced mass transfer</t>
  </si>
  <si>
    <t>CHBE 6500</t>
  </si>
  <si>
    <t>Mathematical modeling of chemical processes</t>
  </si>
  <si>
    <t>CHBE 6710</t>
  </si>
  <si>
    <t>Microfluidics</t>
  </si>
  <si>
    <t>CS 534 (Emory)</t>
  </si>
  <si>
    <t>Machine Learning</t>
  </si>
  <si>
    <t>CS 7641</t>
  </si>
  <si>
    <t>CS 7650</t>
  </si>
  <si>
    <t>Natural Learning</t>
  </si>
  <si>
    <t>CS/ECE 6730</t>
  </si>
  <si>
    <t>Modeling &amp; Simulation: Fundamentals and Implementation</t>
  </si>
  <si>
    <t>CS7545</t>
  </si>
  <si>
    <t>Machine Learning Theory</t>
  </si>
  <si>
    <t>CSE 6140</t>
  </si>
  <si>
    <t>Computational Science and Engineering Algorithms</t>
  </si>
  <si>
    <t>CSE 8803</t>
  </si>
  <si>
    <t>Deep Learning for Text Data</t>
  </si>
  <si>
    <t>ECE 6510</t>
  </si>
  <si>
    <t>Electro-optics</t>
  </si>
  <si>
    <t>ECE 6550</t>
  </si>
  <si>
    <t>Linear Sys and Controls</t>
  </si>
  <si>
    <t>ECE 6553</t>
  </si>
  <si>
    <t>Optimal Control</t>
  </si>
  <si>
    <t>ECE 7251</t>
  </si>
  <si>
    <t>Signal Detection and Estimation</t>
  </si>
  <si>
    <t>ME 4342</t>
  </si>
  <si>
    <t>Computational Fluid Dynamics</t>
  </si>
  <si>
    <t>ME 6201</t>
  </si>
  <si>
    <t>Principles of continuum mechanics</t>
  </si>
  <si>
    <t>ME 6401</t>
  </si>
  <si>
    <t>Linear Control System</t>
  </si>
  <si>
    <t>ME 6441</t>
  </si>
  <si>
    <t>Dynamics-Mechanical Sys</t>
  </si>
  <si>
    <t>ME 6449</t>
  </si>
  <si>
    <t>Acoustic Transducers &amp; Signal Analysis</t>
  </si>
  <si>
    <t>ME 6460</t>
  </si>
  <si>
    <t>MEMS Devices</t>
  </si>
  <si>
    <t>ME 6601</t>
  </si>
  <si>
    <t>Fluid Mechanics</t>
  </si>
  <si>
    <t>ME6124</t>
  </si>
  <si>
    <t>Finite element method</t>
  </si>
  <si>
    <t>MP 6101</t>
  </si>
  <si>
    <t>Medical Imaging Physics</t>
  </si>
  <si>
    <t>MSE 6405</t>
  </si>
  <si>
    <t>Advanced Nanomaterials</t>
  </si>
  <si>
    <t>MSE 6752</t>
  </si>
  <si>
    <t>Polymer characterization</t>
  </si>
  <si>
    <t>MSE 6768</t>
  </si>
  <si>
    <t>Polymer structure, physical properties, and characterization</t>
  </si>
  <si>
    <t>APPH 6225</t>
  </si>
  <si>
    <t>Biostatistics</t>
  </si>
  <si>
    <t>Data Science</t>
  </si>
  <si>
    <t>BIOS 505</t>
  </si>
  <si>
    <t>Stats for Exp Biology</t>
  </si>
  <si>
    <t>BMED 6041</t>
  </si>
  <si>
    <t>Analytic methods</t>
  </si>
  <si>
    <t>BMED 6517</t>
  </si>
  <si>
    <t>Machine Learning in Bioscience</t>
  </si>
  <si>
    <t>BMED 6700</t>
  </si>
  <si>
    <t>BMED 8813 MHI</t>
  </si>
  <si>
    <t>Biomedical Health Informatics</t>
  </si>
  <si>
    <t>CHEM 6481</t>
  </si>
  <si>
    <t>Statistical Mechanics</t>
  </si>
  <si>
    <t>CS 6550</t>
  </si>
  <si>
    <t>Design and analysis of algorithms</t>
  </si>
  <si>
    <t>CS 7643</t>
  </si>
  <si>
    <t>Deep learning</t>
  </si>
  <si>
    <t>CS 7280</t>
  </si>
  <si>
    <t>Network Science</t>
  </si>
  <si>
    <t>CS/ISYE 6740</t>
  </si>
  <si>
    <t>Computational Data Analysis</t>
  </si>
  <si>
    <t>CS4650/CS7650</t>
  </si>
  <si>
    <t>Natural language processing</t>
  </si>
  <si>
    <t>CSE 6010</t>
  </si>
  <si>
    <t>Computational Problem Solving for Scientists and Engineers</t>
  </si>
  <si>
    <t>CSE 6040</t>
  </si>
  <si>
    <t>Computing for Data Analytics</t>
  </si>
  <si>
    <t>CSE 6240</t>
  </si>
  <si>
    <t>Web search/text mining</t>
  </si>
  <si>
    <t>CSE 6242</t>
  </si>
  <si>
    <t>Data &amp; Visual Analytics</t>
  </si>
  <si>
    <t>Big Data in Healthcare</t>
  </si>
  <si>
    <t>ECE 6250</t>
  </si>
  <si>
    <t>Advanced Topics in Digital Signal Processing</t>
  </si>
  <si>
    <t>ECE 6254</t>
  </si>
  <si>
    <t>Stat ML</t>
  </si>
  <si>
    <t>ECE 6258</t>
  </si>
  <si>
    <t>Digital Image Processing</t>
  </si>
  <si>
    <t>ECE 6500</t>
  </si>
  <si>
    <t>Fourier Tech and Signal Analysis</t>
  </si>
  <si>
    <t>ECE 6552</t>
  </si>
  <si>
    <t>Nonlinear systems</t>
  </si>
  <si>
    <t>ECE 6605</t>
  </si>
  <si>
    <t>Information Theory</t>
  </si>
  <si>
    <t>ECE 8823</t>
  </si>
  <si>
    <t>Convex optimization</t>
  </si>
  <si>
    <t>ECE 8843/7750</t>
  </si>
  <si>
    <t>Math Methods of ML</t>
  </si>
  <si>
    <t>ISYE 6413</t>
  </si>
  <si>
    <t>Design and Analysis of Experiments</t>
  </si>
  <si>
    <t>ISYE 6414</t>
  </si>
  <si>
    <t>Statistical modeling and regression analysis</t>
  </si>
  <si>
    <t>ISYE 6661</t>
  </si>
  <si>
    <t>Linear optimization</t>
  </si>
  <si>
    <t>ISYE 6663</t>
  </si>
  <si>
    <t>Nonlinear optimization</t>
  </si>
  <si>
    <t>ISYE 6739</t>
  </si>
  <si>
    <t>Statistical Methods</t>
  </si>
  <si>
    <t>ISYE 7406</t>
  </si>
  <si>
    <t>Data Mining and Statistical Learning</t>
  </si>
  <si>
    <t>ISYE 8803</t>
  </si>
  <si>
    <t>Introduction to Analytics Modeling</t>
  </si>
  <si>
    <t>MATH 572 (Emory)</t>
  </si>
  <si>
    <t>Numerical Partial Differential Equations</t>
  </si>
  <si>
    <t>MATH 6112</t>
  </si>
  <si>
    <t>Advanced linear algebra</t>
  </si>
  <si>
    <t>MATH 6266</t>
  </si>
  <si>
    <t>Linear statistical models</t>
  </si>
  <si>
    <t>MATH 6646</t>
  </si>
  <si>
    <t>Numerial Methods for ODE</t>
  </si>
  <si>
    <t>Human Neuroanatomy</t>
  </si>
  <si>
    <t>Elective</t>
  </si>
  <si>
    <t>APPH 6212</t>
  </si>
  <si>
    <t>Systems Physiology II</t>
  </si>
  <si>
    <t>BMED 4477</t>
  </si>
  <si>
    <t>Bionetworks and Genomics</t>
  </si>
  <si>
    <t>BMED 4784</t>
  </si>
  <si>
    <t>Engr Electrophys</t>
  </si>
  <si>
    <t>BMED 4803</t>
  </si>
  <si>
    <t>Intro to NeuroEng</t>
  </si>
  <si>
    <t>Systems Neuropathology and Translational Eng</t>
  </si>
  <si>
    <t>BMED 6710</t>
  </si>
  <si>
    <t>Rational Design of Biomaterials</t>
  </si>
  <si>
    <t>BMED 6711</t>
  </si>
  <si>
    <t>Rational Design of Biomaterials Lab</t>
  </si>
  <si>
    <t>BMED 6774</t>
  </si>
  <si>
    <t>Biomaterials</t>
  </si>
  <si>
    <t>BMED 6777</t>
  </si>
  <si>
    <t>Advanced Biomaterials</t>
  </si>
  <si>
    <t>BMED 6782</t>
  </si>
  <si>
    <t>Cellular Engineering</t>
  </si>
  <si>
    <t>BMED 6784</t>
  </si>
  <si>
    <t>Cardiovascular Biomechanics</t>
  </si>
  <si>
    <t>BMED 6787</t>
  </si>
  <si>
    <t>Quantitative Electrophysiology</t>
  </si>
  <si>
    <t>BMED 6790</t>
  </si>
  <si>
    <t>Information processing models in neural systems</t>
  </si>
  <si>
    <t>Information processing of models in neural systems</t>
  </si>
  <si>
    <t>BMED 6794</t>
  </si>
  <si>
    <t>Tissue Engineering</t>
  </si>
  <si>
    <t>BMED 7310</t>
  </si>
  <si>
    <t>Stem cell engineering</t>
  </si>
  <si>
    <t>BMED 7610</t>
  </si>
  <si>
    <t>Comp Neuro</t>
  </si>
  <si>
    <t>Quantitative Neuro</t>
  </si>
  <si>
    <t>Systems Neuropathology and Translational Engineering</t>
  </si>
  <si>
    <t>Advanced Topics in Biomedical Ultrasound</t>
  </si>
  <si>
    <t>Advanced Medical Ultrasound</t>
  </si>
  <si>
    <t>ImmunoEngineering</t>
  </si>
  <si>
    <t>Special topics: Nanoengineering</t>
  </si>
  <si>
    <t>BMED 8813 AMI</t>
  </si>
  <si>
    <t>Advanced Medical Imaging Systems</t>
  </si>
  <si>
    <t>BMED 8813MLB</t>
  </si>
  <si>
    <t>Special topics: Machine Learning in Biomedicine</t>
  </si>
  <si>
    <t>BMED 8813SCE</t>
  </si>
  <si>
    <t>Special topics: Stem cell engineering</t>
  </si>
  <si>
    <t>BMED 8823</t>
  </si>
  <si>
    <t>Computational Neuromechanics of Human Sensorimotor Control</t>
  </si>
  <si>
    <t>Clinical Experience for Engineers</t>
  </si>
  <si>
    <t>Summer</t>
  </si>
  <si>
    <t>Algorithms for Bioinformatics</t>
  </si>
  <si>
    <t>BMED/ECE 4784</t>
  </si>
  <si>
    <t>Engr electrophys</t>
  </si>
  <si>
    <t>ChBE 6120</t>
  </si>
  <si>
    <t>Molecular modeling</t>
  </si>
  <si>
    <t>CHBE 6229</t>
  </si>
  <si>
    <t>Introduction to MEMS</t>
  </si>
  <si>
    <t>CHBE 6765</t>
  </si>
  <si>
    <t>Drug Design, Development, and Delivery</t>
  </si>
  <si>
    <t>CS 6601</t>
  </si>
  <si>
    <t>Artificial intellengce</t>
  </si>
  <si>
    <t>CSE 6301</t>
  </si>
  <si>
    <t>Bioinform &amp; Comp Biol</t>
  </si>
  <si>
    <t>ECE 6200</t>
  </si>
  <si>
    <t>Biomed application of MEMS</t>
  </si>
  <si>
    <t>ECE 8803</t>
  </si>
  <si>
    <t>Implantable Microelectronic Devices</t>
  </si>
  <si>
    <t>ECE 8813</t>
  </si>
  <si>
    <t>Special topics: Medical ultrasound</t>
  </si>
  <si>
    <t>GH 509</t>
  </si>
  <si>
    <t>Knowledge translation from research to policy to practice</t>
  </si>
  <si>
    <t>IBS 506R</t>
  </si>
  <si>
    <t>Basic mechanisms of neurological diseases</t>
  </si>
  <si>
    <t>IBS 538</t>
  </si>
  <si>
    <t>Biostats design</t>
  </si>
  <si>
    <t>IBS 570</t>
  </si>
  <si>
    <t>Essentials of animal experimentation</t>
  </si>
  <si>
    <t>ME/ID 4803</t>
  </si>
  <si>
    <t>Rehab and Assistive Tech Design</t>
  </si>
  <si>
    <t>PSYC 8020</t>
  </si>
  <si>
    <t>Cognitive Aging</t>
  </si>
  <si>
    <t>ECE 8803 / ISYE 8803 / CS 8803</t>
  </si>
  <si>
    <t>Probabilistic Graphical Models in Machine Learning</t>
  </si>
  <si>
    <t>APPH 6211</t>
  </si>
  <si>
    <t>Systems physiology</t>
  </si>
  <si>
    <t>Bioscience</t>
  </si>
  <si>
    <t>BIOL 4570</t>
  </si>
  <si>
    <t>Immunology &amp; Immunochem</t>
  </si>
  <si>
    <t>BIOL 6570</t>
  </si>
  <si>
    <t>Immunology</t>
  </si>
  <si>
    <t>BIOL 7001</t>
  </si>
  <si>
    <t>Foundation in Mol &amp; Cell Biol</t>
  </si>
  <si>
    <t>BIOL 7015</t>
  </si>
  <si>
    <t>Cancer Biology and Biotechnology</t>
  </si>
  <si>
    <t>BIOL 8804</t>
  </si>
  <si>
    <t>Foundation of Quant Biosci</t>
  </si>
  <si>
    <t>BMED 6042</t>
  </si>
  <si>
    <t>Systems Physiology</t>
  </si>
  <si>
    <t>BMED 6793</t>
  </si>
  <si>
    <t>Systems pathophysiology</t>
  </si>
  <si>
    <t>CHEM 6501</t>
  </si>
  <si>
    <t>Biochemistry</t>
  </si>
  <si>
    <t>CHEM 6573</t>
  </si>
  <si>
    <t>Molecular Biochemstry</t>
  </si>
  <si>
    <t>IBS 514  (Emory)</t>
  </si>
  <si>
    <t>Cellular and Developmental Neuroscience</t>
  </si>
  <si>
    <t>IBS 523 (Emory)</t>
  </si>
  <si>
    <t>Cancer Biology I</t>
  </si>
  <si>
    <t>IBS 524 (Emory)</t>
  </si>
  <si>
    <t>Cancer Biology II</t>
  </si>
  <si>
    <t>IBS 526 (Emory)</t>
  </si>
  <si>
    <t>Neuroanatomy and Systems Neuroscience</t>
  </si>
  <si>
    <t>IBS 541 (Emory)</t>
  </si>
  <si>
    <t>Mol Biol and Evolutionary Genetics</t>
  </si>
  <si>
    <t>IBS 542 (Emory)</t>
  </si>
  <si>
    <t>Concepts of Immunology</t>
  </si>
  <si>
    <t>IBS 555 (Emory)</t>
  </si>
  <si>
    <t>Basic Biomedical and Biological Sciences</t>
  </si>
  <si>
    <t>CS 6743</t>
  </si>
  <si>
    <t>ECE 8843</t>
  </si>
  <si>
    <t>BMED 6710 Rational Design Biomaterials</t>
  </si>
  <si>
    <t>BMED 6777 Advanced Biomaterials</t>
  </si>
  <si>
    <t>BMED 6782 Cellular Engineering</t>
  </si>
  <si>
    <t>BMED 6794 Tissue Engineering</t>
  </si>
  <si>
    <t>BMED 8813CM Cell Manufacturing</t>
  </si>
  <si>
    <t>BMED 8813 ImmunoEngineering</t>
  </si>
  <si>
    <t>BMED 7310 Stem Cell Engineering</t>
  </si>
  <si>
    <r>
      <rPr>
        <b/>
        <sz val="14"/>
        <color rgb="FF006FC0"/>
        <rFont val="Calibri"/>
        <family val="2"/>
      </rPr>
      <t>Biomedical Imaging and Instrumentation</t>
    </r>
  </si>
  <si>
    <t>Category</t>
  </si>
  <si>
    <t>BMED 4813/8813 Optical Microscopy</t>
  </si>
  <si>
    <t>BMED 6780 Intro Medical Image Proc</t>
  </si>
  <si>
    <t>BMED 6786 Medical Imaging Systems</t>
  </si>
  <si>
    <t>BMED 6210 Magnetic Resonance Imaging</t>
  </si>
  <si>
    <t>BMED 8811 MR Image Reconstruction</t>
  </si>
  <si>
    <t>BMED 8813  Medical Ultrasound (MUS)</t>
  </si>
  <si>
    <t>BMED 8813 Advanced Medical Imaging PET/CT/SPECT (CT)</t>
  </si>
  <si>
    <t>Biomedical Informatics and Systems Modeling</t>
  </si>
  <si>
    <t>BMED 4813 / 8813 BHI Biomed Health Info</t>
  </si>
  <si>
    <t>BMED 6517 Mach Learning Biosciences</t>
  </si>
  <si>
    <t>BMED 6700 Biostatistics</t>
  </si>
  <si>
    <t>BMED 8813 MHI mHealth Informatics</t>
  </si>
  <si>
    <t>BMED 8823 ALG Algorithms &amp; Tools of Comp</t>
  </si>
  <si>
    <r>
      <rPr>
        <b/>
        <sz val="14"/>
        <color rgb="FF006FC0"/>
        <rFont val="Calibri"/>
        <family val="2"/>
      </rPr>
      <t>Biomedical Robotics</t>
    </r>
  </si>
  <si>
    <t>BMED 4739/6739 Medical Robotics</t>
  </si>
  <si>
    <t>BMED 4803 / 8813 Robotic Caregivers</t>
  </si>
  <si>
    <r>
      <rPr>
        <b/>
        <sz val="14"/>
        <color rgb="FF006FC0"/>
        <rFont val="Calibri"/>
        <family val="2"/>
      </rPr>
      <t>Cellular Engineering and Mechanics</t>
    </r>
  </si>
  <si>
    <t>BMED 6720 Biotransport</t>
  </si>
  <si>
    <t>BMED 6743 Tissue Mechanics</t>
  </si>
  <si>
    <t>BMED 6779 BioProcess Engineering</t>
  </si>
  <si>
    <t>BMED 6787 Quantitative Electrophysiology</t>
  </si>
  <si>
    <t>BMED 8813DOL Mech Eng and Design of Living Systems</t>
  </si>
  <si>
    <t>BMED 8813YK Nucleic-acid-based Biomolecular Engineering</t>
  </si>
  <si>
    <r>
      <rPr>
        <b/>
        <sz val="14"/>
        <color rgb="FF006FC0"/>
        <rFont val="Calibri"/>
        <family val="2"/>
      </rPr>
      <t>Neuroengineering</t>
    </r>
  </si>
  <si>
    <t>BMED 4813/8813 Systems Neuropathology and Translational Eng</t>
  </si>
  <si>
    <t>ECE/BMED 6790 Information Processing Models in the NS</t>
  </si>
  <si>
    <t>BMED 7610 Quantitative Neuroscience</t>
  </si>
  <si>
    <t>BMED 8823 Comp Neuromech of Human Sensorimotor Control</t>
  </si>
  <si>
    <r>
      <rPr>
        <b/>
        <sz val="14"/>
        <color rgb="FF006FC0"/>
        <rFont val="Calibri"/>
        <family val="2"/>
      </rPr>
      <t>Physiology and Clinical Translation</t>
    </r>
  </si>
  <si>
    <t>BMED 6042 Systems Physiology</t>
  </si>
  <si>
    <t>BMED 6793 Systems Pathophysiology</t>
  </si>
  <si>
    <t>BMED 8813 ETR Interfacing Eng Tech &amp; Rehab</t>
  </si>
  <si>
    <t>BMED 8843 Clinical Experience for Engineers</t>
  </si>
  <si>
    <t>MSBMED   APPROVED   COURSES</t>
  </si>
  <si>
    <t>APPH 4400 / 6400</t>
  </si>
  <si>
    <t>CS/  ISYE 6740</t>
  </si>
  <si>
    <t>Research Areas for MSBMED</t>
  </si>
  <si>
    <t>Credits</t>
  </si>
  <si>
    <t>Fall 2021</t>
  </si>
  <si>
    <t>Spring 2022</t>
  </si>
  <si>
    <t>Summer 2022</t>
  </si>
  <si>
    <t>Fall 2022</t>
  </si>
  <si>
    <r>
      <rPr>
        <b/>
        <sz val="14"/>
        <color rgb="FF006FC0"/>
        <rFont val="Calibri"/>
        <family val="2"/>
      </rPr>
      <t>Biomaterials and Regenerative Technology</t>
    </r>
  </si>
  <si>
    <t>3‐0‐3</t>
  </si>
  <si>
    <t>X</t>
  </si>
  <si>
    <t/>
  </si>
  <si>
    <t>3-0-3</t>
  </si>
  <si>
    <t>1‐0‐1</t>
  </si>
  <si>
    <t>3-1-3</t>
  </si>
  <si>
    <t>1-6-3</t>
  </si>
  <si>
    <t>Credit not awarded for both CS 7641 &amp; CS 4641/CSE 6740/ISYE 6340.</t>
  </si>
  <si>
    <t>BMED 8813 Machine Learning for Neuroscience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</si>
</sst>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>
    <font>
      <sz val="10"/>
      <color rgb="FF000000"/>
      <name val="Arial"/>
    </font>
    <font>
      <b/>
      <sz val="10"/>
      <color rgb="FF000000"/>
      <name val="Arial"/>
    </font>
    <font>
      <b/>
      <sz val="10"/>
      <color theme="1"/>
      <name val="Arial"/>
    </font>
    <font>
      <sz val="10"/>
      <color theme="1"/>
      <name val="Arial"/>
    </font>
    <font>
      <sz val="10"/>
      <color rgb="FF000000"/>
      <name val="&quot;Arial&quot;"/>
    </font>
    <font>
      <b/>
      <sz val="10"/>
      <color rgb="FF000000"/>
      <name val="Arial"/>
    </font>
    <font>
      <b/>
      <sz val="10"/>
      <color theme="1"/>
      <name val="Arial"/>
    </font>
    <font>
      <sz val="9"/>
      <name val="Calibri"/>
      <family val="2"/>
    </font>
    <font>
      <i/>
      <sz val="9"/>
      <name val="Calibri"/>
      <family val="2"/>
    </font>
    <font>
      <sz val="9"/>
      <color rgb="FF000000"/>
      <name val="Calibri"/>
      <family val="2"/>
    </font>
    <font>
      <sz val="9"/>
      <color rgb="FF000000"/>
      <name val="Times New Roman"/>
      <family val="1"/>
    </font>
    <font>
      <b/>
      <sz val="14"/>
      <name val="Calibri"/>
      <family val="2"/>
    </font>
    <font>
      <b/>
      <sz val="14"/>
      <color rgb="FF006FC0"/>
      <name val="Calibri"/>
      <family val="2"/>
    </font>
    <font>
      <b/>
      <sz val="9"/>
      <color theme="1"/>
      <name val="Calibri"/>
      <family val="2"/>
    </font>
    <font>
      <b/>
      <sz val="14"/>
      <color rgb="FF4472C4"/>
      <name val="Calibri"/>
      <family val="2"/>
    </font>
    <font>
      <b/>
      <sz val="10"/>
      <color rgb="FF002060"/>
      <name val="Arial"/>
      <family val="2"/>
    </font>
    <font>
      <b/>
      <sz val="16"/>
      <color rgb="FF0070C0"/>
      <name val="Calibri"/>
      <family val="2"/>
    </font>
    <font>
      <b/>
      <sz val="9"/>
      <name val="Calibri"/>
      <family val="2"/>
    </font>
    <font>
      <sz val="10"/>
      <color rgb="FF000000"/>
      <name val="Times New Roman"/>
      <family val="1"/>
    </font>
    <font>
      <i/>
      <sz val="10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0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1" fillId="0" borderId="0" xfId="0" applyFont="1"/>
    <xf numFmtId="0" fontId="5" fillId="0" borderId="0" xfId="0" applyFont="1"/>
    <xf numFmtId="0" fontId="3" fillId="0" borderId="0" xfId="0" applyFont="1"/>
    <xf numFmtId="0" fontId="6" fillId="0" borderId="0" xfId="0" applyFont="1"/>
    <xf numFmtId="0" fontId="1" fillId="0" borderId="0" xfId="0" applyFont="1" applyAlignment="1"/>
    <xf numFmtId="0" fontId="2" fillId="0" borderId="0" xfId="0" applyFont="1" applyAlignment="1"/>
    <xf numFmtId="0" fontId="2" fillId="0" borderId="0" xfId="0" applyFont="1"/>
    <xf numFmtId="0" fontId="0" fillId="0" borderId="0" xfId="0" applyFont="1" applyAlignment="1"/>
    <xf numFmtId="0" fontId="3" fillId="0" borderId="0" xfId="0" applyFont="1" applyAlignment="1"/>
    <xf numFmtId="0" fontId="1" fillId="0" borderId="0" xfId="0" applyFont="1" applyAlignment="1"/>
    <xf numFmtId="0" fontId="7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10" fillId="2" borderId="1" xfId="0" applyFont="1" applyFill="1" applyBorder="1" applyAlignment="1">
      <alignment horizontal="left" wrapText="1"/>
    </xf>
    <xf numFmtId="0" fontId="11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top" wrapText="1"/>
    </xf>
    <xf numFmtId="0" fontId="7" fillId="3" borderId="1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0" fontId="16" fillId="0" borderId="1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top" wrapText="1"/>
    </xf>
    <xf numFmtId="0" fontId="1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19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top" wrapText="1"/>
    </xf>
    <xf numFmtId="0" fontId="7" fillId="3" borderId="1" xfId="0" applyFont="1" applyFill="1" applyBorder="1" applyAlignment="1">
      <alignment horizontal="center" vertical="top" wrapText="1"/>
    </xf>
    <xf numFmtId="1" fontId="9" fillId="0" borderId="1" xfId="0" quotePrefix="1" applyNumberFormat="1" applyFont="1" applyBorder="1" applyAlignment="1">
      <alignment horizontal="center" vertical="top" shrinkToFit="1"/>
    </xf>
    <xf numFmtId="0" fontId="15" fillId="0" borderId="0" xfId="0" applyFont="1" applyAlignment="1">
      <alignment horizontal="center"/>
    </xf>
  </cellXfs>
  <cellStyles count="1">
    <cellStyle name="Normal" xfId="0" builtinId="0"/>
  </cellStyles>
  <dxfs count="32">
    <dxf>
      <fill>
        <patternFill>
          <bgColor theme="5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V195"/>
  <sheetViews>
    <sheetView tabSelected="1" workbookViewId="0">
      <pane ySplit="3" topLeftCell="A4" activePane="bottomLeft" state="frozen"/>
      <selection pane="bottomLeft"/>
    </sheetView>
  </sheetViews>
  <sheetFormatPr defaultColWidth="14.42578125" defaultRowHeight="15.75" customHeight="1"/>
  <cols>
    <col min="1" max="1" width="32" customWidth="1"/>
    <col min="2" max="2" width="35.85546875" customWidth="1"/>
    <col min="5" max="5" width="16.5703125" customWidth="1"/>
    <col min="6" max="6" width="19.28515625" customWidth="1"/>
    <col min="7" max="7" width="62.5703125" customWidth="1"/>
  </cols>
  <sheetData>
    <row r="1" spans="1:22" s="14" customFormat="1" ht="15.75" customHeight="1">
      <c r="B1" s="39" t="s">
        <v>319</v>
      </c>
      <c r="C1" s="39"/>
    </row>
    <row r="2" spans="1:22" s="14" customFormat="1" ht="15.75" customHeight="1"/>
    <row r="3" spans="1:22" ht="12.75">
      <c r="A3" s="1" t="s">
        <v>0</v>
      </c>
      <c r="B3" s="1" t="s">
        <v>1</v>
      </c>
      <c r="C3" s="1" t="s">
        <v>2</v>
      </c>
      <c r="D3" s="1" t="s">
        <v>3</v>
      </c>
      <c r="E3" s="2" t="s">
        <v>4</v>
      </c>
      <c r="F3" s="2" t="s">
        <v>5</v>
      </c>
      <c r="G3" s="26" t="s">
        <v>6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2" ht="12.75">
      <c r="A4" s="4" t="s">
        <v>7</v>
      </c>
      <c r="B4" s="4" t="s">
        <v>8</v>
      </c>
      <c r="C4" s="4" t="s">
        <v>9</v>
      </c>
      <c r="D4" s="4" t="s">
        <v>10</v>
      </c>
      <c r="E4" s="5" t="s">
        <v>11</v>
      </c>
    </row>
    <row r="5" spans="1:22" ht="12.75">
      <c r="A5" s="4" t="s">
        <v>12</v>
      </c>
      <c r="B5" s="4" t="s">
        <v>13</v>
      </c>
      <c r="C5" s="4" t="s">
        <v>14</v>
      </c>
      <c r="D5" s="4" t="s">
        <v>14</v>
      </c>
      <c r="E5" s="5" t="s">
        <v>11</v>
      </c>
    </row>
    <row r="6" spans="1:22" ht="12.75">
      <c r="A6" s="4" t="s">
        <v>15</v>
      </c>
      <c r="B6" s="4" t="s">
        <v>16</v>
      </c>
      <c r="C6" s="4" t="s">
        <v>9</v>
      </c>
      <c r="D6" s="4" t="s">
        <v>17</v>
      </c>
      <c r="E6" s="5" t="s">
        <v>11</v>
      </c>
    </row>
    <row r="7" spans="1:22" ht="12.75">
      <c r="A7" s="4" t="s">
        <v>18</v>
      </c>
      <c r="B7" s="4" t="s">
        <v>19</v>
      </c>
      <c r="C7" s="4" t="s">
        <v>20</v>
      </c>
      <c r="D7" s="4" t="s">
        <v>10</v>
      </c>
      <c r="E7" s="5" t="s">
        <v>11</v>
      </c>
    </row>
    <row r="8" spans="1:22" ht="12.75">
      <c r="A8" s="4" t="s">
        <v>21</v>
      </c>
      <c r="B8" s="4" t="s">
        <v>22</v>
      </c>
      <c r="C8" s="4" t="s">
        <v>9</v>
      </c>
      <c r="D8" s="4" t="s">
        <v>17</v>
      </c>
      <c r="E8" s="5" t="s">
        <v>11</v>
      </c>
    </row>
    <row r="9" spans="1:22" ht="12.75">
      <c r="A9" s="4" t="s">
        <v>23</v>
      </c>
      <c r="B9" s="4" t="s">
        <v>24</v>
      </c>
      <c r="C9" s="4" t="s">
        <v>20</v>
      </c>
      <c r="D9" s="4" t="s">
        <v>17</v>
      </c>
      <c r="E9" s="5" t="s">
        <v>11</v>
      </c>
    </row>
    <row r="10" spans="1:22" ht="12.75">
      <c r="A10" s="4" t="s">
        <v>25</v>
      </c>
      <c r="B10" s="4" t="s">
        <v>26</v>
      </c>
      <c r="C10" s="4" t="s">
        <v>27</v>
      </c>
      <c r="D10" s="4" t="s">
        <v>10</v>
      </c>
      <c r="E10" s="5" t="s">
        <v>11</v>
      </c>
    </row>
    <row r="11" spans="1:22" ht="12.75">
      <c r="A11" s="4" t="s">
        <v>28</v>
      </c>
      <c r="B11" s="4" t="s">
        <v>29</v>
      </c>
      <c r="C11" s="4" t="s">
        <v>9</v>
      </c>
      <c r="D11" s="4" t="s">
        <v>10</v>
      </c>
      <c r="E11" s="5" t="s">
        <v>11</v>
      </c>
    </row>
    <row r="12" spans="1:22" ht="12.75">
      <c r="A12" s="4" t="s">
        <v>28</v>
      </c>
      <c r="B12" s="4" t="s">
        <v>30</v>
      </c>
      <c r="C12" s="4" t="s">
        <v>9</v>
      </c>
      <c r="D12" s="4" t="s">
        <v>17</v>
      </c>
      <c r="E12" s="5" t="s">
        <v>11</v>
      </c>
    </row>
    <row r="13" spans="1:22" ht="12.75">
      <c r="A13" s="4" t="s">
        <v>31</v>
      </c>
      <c r="B13" s="4" t="s">
        <v>32</v>
      </c>
      <c r="C13" s="4" t="s">
        <v>20</v>
      </c>
      <c r="D13" s="4" t="s">
        <v>10</v>
      </c>
      <c r="E13" s="5" t="s">
        <v>11</v>
      </c>
    </row>
    <row r="14" spans="1:22" ht="12.75">
      <c r="A14" s="4" t="s">
        <v>33</v>
      </c>
      <c r="B14" s="4" t="s">
        <v>34</v>
      </c>
      <c r="C14" s="4" t="s">
        <v>20</v>
      </c>
      <c r="D14" s="4" t="s">
        <v>10</v>
      </c>
      <c r="E14" s="5" t="s">
        <v>11</v>
      </c>
    </row>
    <row r="15" spans="1:22" ht="12.75">
      <c r="A15" s="4" t="s">
        <v>35</v>
      </c>
      <c r="B15" s="4" t="s">
        <v>36</v>
      </c>
      <c r="C15" s="4" t="s">
        <v>20</v>
      </c>
      <c r="D15" s="4" t="s">
        <v>10</v>
      </c>
      <c r="E15" s="5" t="s">
        <v>11</v>
      </c>
    </row>
    <row r="16" spans="1:22" ht="12.75">
      <c r="A16" s="4" t="s">
        <v>37</v>
      </c>
      <c r="B16" s="4" t="s">
        <v>38</v>
      </c>
      <c r="C16" s="4" t="s">
        <v>9</v>
      </c>
      <c r="D16" s="4" t="s">
        <v>10</v>
      </c>
      <c r="E16" s="5" t="s">
        <v>11</v>
      </c>
    </row>
    <row r="17" spans="1:7" ht="12.75">
      <c r="A17" s="4" t="s">
        <v>39</v>
      </c>
      <c r="B17" s="4" t="s">
        <v>40</v>
      </c>
      <c r="C17" s="4" t="s">
        <v>9</v>
      </c>
      <c r="D17" s="4" t="s">
        <v>10</v>
      </c>
      <c r="E17" s="5" t="s">
        <v>11</v>
      </c>
    </row>
    <row r="18" spans="1:7" ht="12.75">
      <c r="A18" s="4" t="s">
        <v>41</v>
      </c>
      <c r="B18" s="4" t="s">
        <v>42</v>
      </c>
      <c r="C18" s="4" t="s">
        <v>20</v>
      </c>
      <c r="D18" s="4" t="s">
        <v>14</v>
      </c>
      <c r="E18" s="5" t="s">
        <v>11</v>
      </c>
    </row>
    <row r="19" spans="1:7" ht="12.75">
      <c r="A19" s="4" t="s">
        <v>43</v>
      </c>
      <c r="B19" s="4" t="s">
        <v>42</v>
      </c>
      <c r="C19" s="4" t="s">
        <v>27</v>
      </c>
      <c r="D19" s="4" t="s">
        <v>10</v>
      </c>
      <c r="E19" s="5" t="s">
        <v>11</v>
      </c>
      <c r="G19" s="14" t="s">
        <v>336</v>
      </c>
    </row>
    <row r="20" spans="1:7" ht="12.75">
      <c r="A20" s="4" t="s">
        <v>44</v>
      </c>
      <c r="B20" s="4" t="s">
        <v>45</v>
      </c>
      <c r="C20" s="4" t="s">
        <v>20</v>
      </c>
      <c r="D20" s="4" t="s">
        <v>10</v>
      </c>
      <c r="E20" s="5" t="s">
        <v>11</v>
      </c>
    </row>
    <row r="21" spans="1:7" ht="12.75">
      <c r="A21" s="4" t="s">
        <v>46</v>
      </c>
      <c r="B21" s="4" t="s">
        <v>47</v>
      </c>
      <c r="C21" s="4" t="s">
        <v>14</v>
      </c>
      <c r="D21" s="4" t="s">
        <v>14</v>
      </c>
      <c r="E21" s="5" t="s">
        <v>11</v>
      </c>
    </row>
    <row r="22" spans="1:7" ht="12.75">
      <c r="A22" s="4" t="s">
        <v>48</v>
      </c>
      <c r="B22" s="4" t="s">
        <v>49</v>
      </c>
      <c r="C22" s="4" t="s">
        <v>9</v>
      </c>
      <c r="D22" s="4" t="s">
        <v>10</v>
      </c>
      <c r="E22" s="5" t="s">
        <v>11</v>
      </c>
      <c r="G22" s="16"/>
    </row>
    <row r="23" spans="1:7" ht="12.75">
      <c r="A23" s="4" t="s">
        <v>50</v>
      </c>
      <c r="B23" s="4" t="s">
        <v>51</v>
      </c>
      <c r="C23" s="4" t="s">
        <v>9</v>
      </c>
      <c r="D23" s="4" t="s">
        <v>10</v>
      </c>
      <c r="E23" s="5" t="s">
        <v>11</v>
      </c>
    </row>
    <row r="24" spans="1:7" ht="12.75">
      <c r="A24" s="4" t="s">
        <v>52</v>
      </c>
      <c r="B24" s="4" t="s">
        <v>53</v>
      </c>
      <c r="C24" s="4" t="s">
        <v>9</v>
      </c>
      <c r="D24" s="4" t="s">
        <v>14</v>
      </c>
      <c r="E24" s="5" t="s">
        <v>11</v>
      </c>
    </row>
    <row r="25" spans="1:7" ht="12.75">
      <c r="A25" s="4" t="s">
        <v>54</v>
      </c>
      <c r="B25" s="4" t="s">
        <v>55</v>
      </c>
      <c r="C25" s="4" t="s">
        <v>9</v>
      </c>
      <c r="D25" s="4" t="s">
        <v>10</v>
      </c>
      <c r="E25" s="5" t="s">
        <v>11</v>
      </c>
    </row>
    <row r="26" spans="1:7" ht="12.75">
      <c r="A26" s="4" t="s">
        <v>56</v>
      </c>
      <c r="B26" s="4" t="s">
        <v>57</v>
      </c>
      <c r="C26" s="4" t="s">
        <v>9</v>
      </c>
      <c r="D26" s="4" t="s">
        <v>10</v>
      </c>
      <c r="E26" s="5" t="s">
        <v>11</v>
      </c>
    </row>
    <row r="27" spans="1:7" ht="12.75">
      <c r="A27" s="4" t="s">
        <v>58</v>
      </c>
      <c r="B27" s="4" t="s">
        <v>59</v>
      </c>
      <c r="C27" s="4" t="s">
        <v>20</v>
      </c>
      <c r="D27" s="4" t="s">
        <v>10</v>
      </c>
      <c r="E27" s="5" t="s">
        <v>11</v>
      </c>
    </row>
    <row r="28" spans="1:7" ht="12.75">
      <c r="A28" s="4" t="s">
        <v>60</v>
      </c>
      <c r="B28" s="4" t="s">
        <v>61</v>
      </c>
      <c r="C28" s="4" t="s">
        <v>20</v>
      </c>
      <c r="D28" s="4" t="s">
        <v>10</v>
      </c>
      <c r="E28" s="5" t="s">
        <v>11</v>
      </c>
    </row>
    <row r="29" spans="1:7" ht="12.75">
      <c r="A29" s="4" t="s">
        <v>62</v>
      </c>
      <c r="B29" s="4" t="s">
        <v>63</v>
      </c>
      <c r="C29" s="4" t="s">
        <v>20</v>
      </c>
      <c r="D29" s="4" t="s">
        <v>14</v>
      </c>
      <c r="E29" s="5" t="s">
        <v>11</v>
      </c>
    </row>
    <row r="30" spans="1:7" ht="12.75">
      <c r="A30" s="4" t="s">
        <v>64</v>
      </c>
      <c r="B30" s="4" t="s">
        <v>65</v>
      </c>
      <c r="C30" s="4" t="s">
        <v>9</v>
      </c>
      <c r="D30" s="4" t="s">
        <v>10</v>
      </c>
      <c r="E30" s="5" t="s">
        <v>11</v>
      </c>
    </row>
    <row r="31" spans="1:7" ht="12.75">
      <c r="A31" s="4" t="s">
        <v>66</v>
      </c>
      <c r="B31" s="4" t="s">
        <v>67</v>
      </c>
      <c r="C31" s="4" t="s">
        <v>9</v>
      </c>
      <c r="D31" s="4" t="s">
        <v>10</v>
      </c>
      <c r="E31" s="5" t="s">
        <v>11</v>
      </c>
    </row>
    <row r="32" spans="1:7" ht="12.75">
      <c r="A32" s="4" t="s">
        <v>68</v>
      </c>
      <c r="B32" s="4" t="s">
        <v>69</v>
      </c>
      <c r="C32" s="4" t="s">
        <v>9</v>
      </c>
      <c r="D32" s="4" t="s">
        <v>10</v>
      </c>
      <c r="E32" s="5" t="s">
        <v>11</v>
      </c>
    </row>
    <row r="33" spans="1:5" ht="12.75">
      <c r="A33" s="4" t="s">
        <v>70</v>
      </c>
      <c r="B33" s="4" t="s">
        <v>71</v>
      </c>
      <c r="C33" s="4" t="s">
        <v>9</v>
      </c>
      <c r="D33" s="4" t="s">
        <v>10</v>
      </c>
      <c r="E33" s="5" t="s">
        <v>11</v>
      </c>
    </row>
    <row r="34" spans="1:5" ht="12.75">
      <c r="A34" s="4" t="s">
        <v>72</v>
      </c>
      <c r="B34" s="4" t="s">
        <v>73</v>
      </c>
      <c r="C34" s="4" t="s">
        <v>20</v>
      </c>
      <c r="D34" s="4" t="s">
        <v>14</v>
      </c>
      <c r="E34" s="5" t="s">
        <v>11</v>
      </c>
    </row>
    <row r="35" spans="1:5" ht="12.75">
      <c r="A35" s="4" t="s">
        <v>74</v>
      </c>
      <c r="B35" s="4" t="s">
        <v>75</v>
      </c>
      <c r="C35" s="4" t="s">
        <v>9</v>
      </c>
      <c r="D35" s="4" t="s">
        <v>10</v>
      </c>
      <c r="E35" s="5" t="s">
        <v>11</v>
      </c>
    </row>
    <row r="36" spans="1:5" ht="12.75">
      <c r="A36" s="4" t="s">
        <v>76</v>
      </c>
      <c r="B36" s="4" t="s">
        <v>77</v>
      </c>
      <c r="C36" s="4" t="s">
        <v>27</v>
      </c>
      <c r="D36" s="4" t="s">
        <v>10</v>
      </c>
      <c r="E36" s="5" t="s">
        <v>11</v>
      </c>
    </row>
    <row r="37" spans="1:5" ht="12.75">
      <c r="A37" s="4" t="s">
        <v>78</v>
      </c>
      <c r="B37" s="4" t="s">
        <v>79</v>
      </c>
      <c r="C37" s="4" t="s">
        <v>9</v>
      </c>
      <c r="D37" s="4" t="s">
        <v>10</v>
      </c>
      <c r="E37" s="5" t="s">
        <v>11</v>
      </c>
    </row>
    <row r="38" spans="1:5" ht="12.75">
      <c r="A38" s="4" t="s">
        <v>80</v>
      </c>
      <c r="B38" s="4" t="s">
        <v>81</v>
      </c>
      <c r="C38" s="4" t="s">
        <v>9</v>
      </c>
      <c r="D38" s="4" t="s">
        <v>10</v>
      </c>
      <c r="E38" s="5" t="s">
        <v>11</v>
      </c>
    </row>
    <row r="39" spans="1:5" ht="12.75">
      <c r="A39" s="4" t="s">
        <v>82</v>
      </c>
      <c r="B39" s="4" t="s">
        <v>83</v>
      </c>
      <c r="C39" s="4" t="s">
        <v>9</v>
      </c>
      <c r="D39" s="4" t="s">
        <v>10</v>
      </c>
      <c r="E39" s="5" t="s">
        <v>11</v>
      </c>
    </row>
    <row r="40" spans="1:5" ht="12.75">
      <c r="A40" s="4" t="s">
        <v>84</v>
      </c>
      <c r="B40" s="4" t="s">
        <v>85</v>
      </c>
      <c r="C40" s="4" t="s">
        <v>20</v>
      </c>
      <c r="D40" s="4" t="s">
        <v>10</v>
      </c>
      <c r="E40" s="5" t="s">
        <v>11</v>
      </c>
    </row>
    <row r="41" spans="1:5" ht="12.75">
      <c r="A41" s="4" t="s">
        <v>86</v>
      </c>
      <c r="B41" s="4" t="s">
        <v>87</v>
      </c>
      <c r="C41" s="4" t="s">
        <v>14</v>
      </c>
      <c r="D41" s="4" t="s">
        <v>14</v>
      </c>
      <c r="E41" s="5" t="s">
        <v>88</v>
      </c>
    </row>
    <row r="42" spans="1:5" ht="12.75">
      <c r="A42" s="4" t="s">
        <v>89</v>
      </c>
      <c r="B42" s="4" t="s">
        <v>90</v>
      </c>
      <c r="C42" s="4" t="s">
        <v>14</v>
      </c>
      <c r="D42" s="4" t="s">
        <v>14</v>
      </c>
      <c r="E42" s="5" t="s">
        <v>88</v>
      </c>
    </row>
    <row r="43" spans="1:5" ht="12.75">
      <c r="A43" s="4" t="s">
        <v>91</v>
      </c>
      <c r="B43" s="4" t="s">
        <v>92</v>
      </c>
      <c r="C43" s="4" t="s">
        <v>14</v>
      </c>
      <c r="D43" s="4" t="s">
        <v>14</v>
      </c>
      <c r="E43" s="5" t="s">
        <v>88</v>
      </c>
    </row>
    <row r="44" spans="1:5" ht="12.75">
      <c r="A44" s="4" t="s">
        <v>93</v>
      </c>
      <c r="B44" s="4" t="s">
        <v>94</v>
      </c>
      <c r="C44" s="4" t="s">
        <v>9</v>
      </c>
      <c r="D44" s="4" t="s">
        <v>17</v>
      </c>
      <c r="E44" s="5" t="s">
        <v>88</v>
      </c>
    </row>
    <row r="45" spans="1:5" ht="12.75">
      <c r="A45" s="4" t="s">
        <v>95</v>
      </c>
      <c r="B45" s="4" t="s">
        <v>87</v>
      </c>
      <c r="C45" s="4" t="s">
        <v>20</v>
      </c>
      <c r="D45" s="4" t="s">
        <v>10</v>
      </c>
      <c r="E45" s="5" t="s">
        <v>88</v>
      </c>
    </row>
    <row r="46" spans="1:5" ht="12.75">
      <c r="A46" s="4" t="s">
        <v>96</v>
      </c>
      <c r="B46" s="4" t="s">
        <v>97</v>
      </c>
      <c r="C46" s="4" t="s">
        <v>20</v>
      </c>
      <c r="D46" s="4" t="s">
        <v>14</v>
      </c>
      <c r="E46" s="5" t="s">
        <v>88</v>
      </c>
    </row>
    <row r="47" spans="1:5" ht="12.75">
      <c r="A47" s="4" t="s">
        <v>98</v>
      </c>
      <c r="B47" s="4" t="s">
        <v>99</v>
      </c>
      <c r="C47" s="4" t="s">
        <v>9</v>
      </c>
      <c r="D47" s="4" t="s">
        <v>14</v>
      </c>
      <c r="E47" s="5" t="s">
        <v>88</v>
      </c>
    </row>
    <row r="48" spans="1:5" ht="12.75">
      <c r="A48" s="4" t="s">
        <v>100</v>
      </c>
      <c r="B48" s="4" t="s">
        <v>101</v>
      </c>
      <c r="C48" s="4" t="s">
        <v>20</v>
      </c>
      <c r="D48" s="4" t="s">
        <v>10</v>
      </c>
      <c r="E48" s="5" t="s">
        <v>88</v>
      </c>
    </row>
    <row r="49" spans="1:7" ht="12.75">
      <c r="A49" s="4" t="s">
        <v>102</v>
      </c>
      <c r="B49" s="4" t="s">
        <v>103</v>
      </c>
      <c r="C49" s="4" t="s">
        <v>14</v>
      </c>
      <c r="D49" s="4" t="s">
        <v>14</v>
      </c>
      <c r="E49" s="5" t="s">
        <v>88</v>
      </c>
      <c r="F49" s="5" t="s">
        <v>11</v>
      </c>
    </row>
    <row r="50" spans="1:7" ht="12.75">
      <c r="A50" s="4" t="s">
        <v>104</v>
      </c>
      <c r="B50" s="4" t="s">
        <v>105</v>
      </c>
      <c r="C50" s="4" t="s">
        <v>14</v>
      </c>
      <c r="D50" s="4" t="s">
        <v>14</v>
      </c>
      <c r="E50" s="5" t="s">
        <v>88</v>
      </c>
    </row>
    <row r="51" spans="1:7" ht="12.75">
      <c r="A51" s="4" t="s">
        <v>321</v>
      </c>
      <c r="B51" s="4" t="s">
        <v>107</v>
      </c>
      <c r="C51" s="4" t="s">
        <v>27</v>
      </c>
      <c r="D51" s="4" t="s">
        <v>10</v>
      </c>
      <c r="E51" s="5" t="s">
        <v>88</v>
      </c>
      <c r="F51" s="5" t="s">
        <v>11</v>
      </c>
      <c r="G51" s="14"/>
    </row>
    <row r="52" spans="1:7" ht="12.75">
      <c r="A52" s="4" t="s">
        <v>108</v>
      </c>
      <c r="B52" s="4" t="s">
        <v>109</v>
      </c>
      <c r="C52" s="4" t="s">
        <v>20</v>
      </c>
      <c r="D52" s="4" t="s">
        <v>10</v>
      </c>
      <c r="E52" s="5" t="s">
        <v>88</v>
      </c>
    </row>
    <row r="53" spans="1:7" ht="12.75">
      <c r="A53" s="4" t="s">
        <v>110</v>
      </c>
      <c r="B53" s="4" t="s">
        <v>111</v>
      </c>
      <c r="C53" s="4" t="s">
        <v>9</v>
      </c>
      <c r="D53" s="4" t="s">
        <v>10</v>
      </c>
      <c r="E53" s="5" t="s">
        <v>88</v>
      </c>
    </row>
    <row r="54" spans="1:7" ht="12.75">
      <c r="A54" s="4" t="s">
        <v>112</v>
      </c>
      <c r="B54" s="4" t="s">
        <v>113</v>
      </c>
      <c r="C54" s="4" t="s">
        <v>27</v>
      </c>
      <c r="D54" s="4" t="s">
        <v>10</v>
      </c>
      <c r="E54" s="5" t="s">
        <v>88</v>
      </c>
    </row>
    <row r="55" spans="1:7" ht="12.75">
      <c r="A55" s="4" t="s">
        <v>114</v>
      </c>
      <c r="B55" s="4" t="s">
        <v>115</v>
      </c>
      <c r="C55" s="4" t="s">
        <v>20</v>
      </c>
      <c r="D55" s="4" t="s">
        <v>10</v>
      </c>
      <c r="E55" s="5" t="s">
        <v>88</v>
      </c>
    </row>
    <row r="56" spans="1:7" ht="12.75">
      <c r="A56" s="4" t="s">
        <v>116</v>
      </c>
      <c r="B56" s="4" t="s">
        <v>117</v>
      </c>
      <c r="C56" s="4" t="s">
        <v>27</v>
      </c>
      <c r="D56" s="4" t="s">
        <v>10</v>
      </c>
      <c r="E56" s="5" t="s">
        <v>88</v>
      </c>
    </row>
    <row r="57" spans="1:7" ht="12.75">
      <c r="A57" s="4" t="s">
        <v>52</v>
      </c>
      <c r="B57" s="4" t="s">
        <v>118</v>
      </c>
      <c r="C57" s="4" t="s">
        <v>14</v>
      </c>
      <c r="D57" s="4" t="s">
        <v>14</v>
      </c>
      <c r="E57" s="5" t="s">
        <v>88</v>
      </c>
    </row>
    <row r="58" spans="1:7" ht="12.75">
      <c r="A58" s="4" t="s">
        <v>119</v>
      </c>
      <c r="B58" s="4" t="s">
        <v>120</v>
      </c>
      <c r="C58" s="4" t="s">
        <v>9</v>
      </c>
      <c r="D58" s="4" t="s">
        <v>10</v>
      </c>
      <c r="E58" s="5" t="s">
        <v>88</v>
      </c>
    </row>
    <row r="59" spans="1:7" ht="12.75">
      <c r="A59" s="4" t="s">
        <v>121</v>
      </c>
      <c r="B59" s="4" t="s">
        <v>122</v>
      </c>
      <c r="C59" s="4" t="s">
        <v>20</v>
      </c>
      <c r="D59" s="4" t="s">
        <v>10</v>
      </c>
      <c r="E59" s="5" t="s">
        <v>88</v>
      </c>
      <c r="F59" s="5" t="s">
        <v>11</v>
      </c>
      <c r="G59" s="5" t="s">
        <v>28</v>
      </c>
    </row>
    <row r="60" spans="1:7" ht="12.75">
      <c r="A60" s="4" t="s">
        <v>123</v>
      </c>
      <c r="B60" s="4" t="s">
        <v>124</v>
      </c>
      <c r="C60" s="4" t="s">
        <v>9</v>
      </c>
      <c r="D60" s="4" t="s">
        <v>10</v>
      </c>
      <c r="E60" s="5" t="s">
        <v>88</v>
      </c>
    </row>
    <row r="61" spans="1:7" ht="12.75">
      <c r="A61" s="4" t="s">
        <v>125</v>
      </c>
      <c r="B61" s="4" t="s">
        <v>126</v>
      </c>
      <c r="C61" s="4" t="s">
        <v>9</v>
      </c>
      <c r="D61" s="4" t="s">
        <v>10</v>
      </c>
      <c r="E61" s="5" t="s">
        <v>88</v>
      </c>
    </row>
    <row r="62" spans="1:7" ht="12.75">
      <c r="A62" s="4" t="s">
        <v>127</v>
      </c>
      <c r="B62" s="4" t="s">
        <v>128</v>
      </c>
      <c r="C62" s="4" t="s">
        <v>20</v>
      </c>
      <c r="D62" s="4" t="s">
        <v>10</v>
      </c>
      <c r="E62" s="5" t="s">
        <v>88</v>
      </c>
    </row>
    <row r="63" spans="1:7" ht="12.75">
      <c r="A63" s="4" t="s">
        <v>129</v>
      </c>
      <c r="B63" s="4" t="s">
        <v>130</v>
      </c>
      <c r="C63" s="4" t="s">
        <v>9</v>
      </c>
      <c r="D63" s="4" t="s">
        <v>10</v>
      </c>
      <c r="E63" s="5" t="s">
        <v>88</v>
      </c>
    </row>
    <row r="64" spans="1:7" ht="12.75">
      <c r="A64" s="4" t="s">
        <v>131</v>
      </c>
      <c r="B64" s="4" t="s">
        <v>132</v>
      </c>
      <c r="C64" s="4" t="s">
        <v>14</v>
      </c>
      <c r="D64" s="4" t="s">
        <v>14</v>
      </c>
      <c r="E64" s="5" t="s">
        <v>88</v>
      </c>
      <c r="F64" s="5" t="s">
        <v>11</v>
      </c>
    </row>
    <row r="65" spans="1:7" ht="12.75">
      <c r="A65" s="4" t="s">
        <v>133</v>
      </c>
      <c r="B65" s="4" t="s">
        <v>134</v>
      </c>
      <c r="C65" s="4" t="s">
        <v>9</v>
      </c>
      <c r="D65" s="4" t="s">
        <v>10</v>
      </c>
      <c r="E65" s="5" t="s">
        <v>88</v>
      </c>
      <c r="F65" s="5" t="s">
        <v>11</v>
      </c>
      <c r="G65" s="5" t="s">
        <v>28</v>
      </c>
    </row>
    <row r="66" spans="1:7" ht="12.75">
      <c r="A66" s="4" t="s">
        <v>135</v>
      </c>
      <c r="B66" s="4" t="s">
        <v>136</v>
      </c>
      <c r="C66" s="4" t="s">
        <v>20</v>
      </c>
      <c r="D66" s="4" t="s">
        <v>10</v>
      </c>
      <c r="E66" s="5" t="s">
        <v>88</v>
      </c>
    </row>
    <row r="67" spans="1:7" ht="12.75">
      <c r="A67" s="4" t="s">
        <v>137</v>
      </c>
      <c r="B67" s="4" t="s">
        <v>138</v>
      </c>
      <c r="C67" s="4" t="s">
        <v>27</v>
      </c>
      <c r="D67" s="4" t="s">
        <v>10</v>
      </c>
      <c r="E67" s="5" t="s">
        <v>88</v>
      </c>
    </row>
    <row r="68" spans="1:7" ht="12.75">
      <c r="A68" s="4" t="s">
        <v>139</v>
      </c>
      <c r="B68" s="4" t="s">
        <v>140</v>
      </c>
      <c r="C68" s="4" t="s">
        <v>27</v>
      </c>
      <c r="D68" s="4" t="s">
        <v>10</v>
      </c>
      <c r="E68" s="5" t="s">
        <v>88</v>
      </c>
    </row>
    <row r="69" spans="1:7" ht="12.75">
      <c r="A69" s="4" t="s">
        <v>141</v>
      </c>
      <c r="B69" s="4" t="s">
        <v>142</v>
      </c>
      <c r="C69" s="4" t="s">
        <v>20</v>
      </c>
      <c r="D69" s="4" t="s">
        <v>10</v>
      </c>
      <c r="E69" s="5" t="s">
        <v>88</v>
      </c>
    </row>
    <row r="70" spans="1:7" ht="12.75">
      <c r="A70" s="4" t="s">
        <v>143</v>
      </c>
      <c r="B70" s="4" t="s">
        <v>144</v>
      </c>
      <c r="C70" s="4" t="s">
        <v>27</v>
      </c>
      <c r="D70" s="4" t="s">
        <v>10</v>
      </c>
      <c r="E70" s="5" t="s">
        <v>88</v>
      </c>
    </row>
    <row r="71" spans="1:7" ht="12.75">
      <c r="A71" s="4" t="s">
        <v>145</v>
      </c>
      <c r="B71" s="4" t="s">
        <v>146</v>
      </c>
      <c r="C71" s="4" t="s">
        <v>20</v>
      </c>
      <c r="D71" s="4" t="s">
        <v>10</v>
      </c>
      <c r="E71" s="5" t="s">
        <v>88</v>
      </c>
      <c r="F71" s="5" t="s">
        <v>11</v>
      </c>
    </row>
    <row r="72" spans="1:7" ht="12.75">
      <c r="A72" s="4" t="s">
        <v>147</v>
      </c>
      <c r="B72" s="4" t="s">
        <v>148</v>
      </c>
      <c r="C72" s="4" t="s">
        <v>14</v>
      </c>
      <c r="D72" s="4" t="s">
        <v>14</v>
      </c>
      <c r="E72" s="5" t="s">
        <v>88</v>
      </c>
    </row>
    <row r="73" spans="1:7" ht="12.75">
      <c r="A73" s="4" t="s">
        <v>149</v>
      </c>
      <c r="B73" s="4" t="s">
        <v>150</v>
      </c>
      <c r="C73" s="4" t="s">
        <v>20</v>
      </c>
      <c r="D73" s="4" t="s">
        <v>14</v>
      </c>
      <c r="E73" s="5" t="s">
        <v>88</v>
      </c>
    </row>
    <row r="74" spans="1:7" ht="12.75">
      <c r="A74" s="4" t="s">
        <v>151</v>
      </c>
      <c r="B74" s="4" t="s">
        <v>152</v>
      </c>
      <c r="C74" s="4" t="s">
        <v>9</v>
      </c>
      <c r="D74" s="4" t="s">
        <v>10</v>
      </c>
      <c r="E74" s="5" t="s">
        <v>88</v>
      </c>
    </row>
    <row r="75" spans="1:7" ht="12.75">
      <c r="A75" s="4" t="s">
        <v>153</v>
      </c>
      <c r="B75" s="4" t="s">
        <v>154</v>
      </c>
      <c r="C75" s="4" t="s">
        <v>9</v>
      </c>
      <c r="D75" s="4" t="s">
        <v>10</v>
      </c>
      <c r="E75" s="5" t="s">
        <v>88</v>
      </c>
    </row>
    <row r="76" spans="1:7" ht="12.75">
      <c r="A76" s="4" t="s">
        <v>155</v>
      </c>
      <c r="B76" s="4" t="s">
        <v>156</v>
      </c>
      <c r="C76" s="4" t="s">
        <v>20</v>
      </c>
      <c r="D76" s="4" t="s">
        <v>10</v>
      </c>
      <c r="E76" s="5" t="s">
        <v>88</v>
      </c>
    </row>
    <row r="77" spans="1:7" ht="12.75">
      <c r="A77" s="4" t="s">
        <v>320</v>
      </c>
      <c r="B77" s="4" t="s">
        <v>157</v>
      </c>
      <c r="C77" s="4" t="s">
        <v>9</v>
      </c>
      <c r="D77" s="4" t="s">
        <v>10</v>
      </c>
      <c r="E77" s="5" t="s">
        <v>158</v>
      </c>
    </row>
    <row r="78" spans="1:7" ht="12.75">
      <c r="A78" s="4" t="s">
        <v>159</v>
      </c>
      <c r="B78" s="4" t="s">
        <v>160</v>
      </c>
      <c r="C78" s="4" t="s">
        <v>20</v>
      </c>
      <c r="D78" s="4" t="s">
        <v>10</v>
      </c>
      <c r="E78" s="5" t="s">
        <v>158</v>
      </c>
    </row>
    <row r="79" spans="1:7" ht="12.75">
      <c r="A79" s="4" t="s">
        <v>161</v>
      </c>
      <c r="B79" s="4" t="s">
        <v>162</v>
      </c>
      <c r="C79" s="4" t="s">
        <v>9</v>
      </c>
      <c r="D79" s="4" t="s">
        <v>10</v>
      </c>
      <c r="E79" s="5" t="s">
        <v>158</v>
      </c>
    </row>
    <row r="80" spans="1:7" ht="12.75">
      <c r="A80" s="4" t="s">
        <v>163</v>
      </c>
      <c r="B80" s="4" t="s">
        <v>164</v>
      </c>
      <c r="C80" s="4" t="s">
        <v>9</v>
      </c>
      <c r="D80" s="4" t="s">
        <v>10</v>
      </c>
      <c r="E80" s="5" t="s">
        <v>158</v>
      </c>
    </row>
    <row r="81" spans="1:5" ht="12.75">
      <c r="A81" s="4" t="s">
        <v>165</v>
      </c>
      <c r="B81" s="4" t="s">
        <v>166</v>
      </c>
      <c r="C81" s="4" t="s">
        <v>20</v>
      </c>
      <c r="D81" s="4" t="s">
        <v>10</v>
      </c>
      <c r="E81" s="5" t="s">
        <v>158</v>
      </c>
    </row>
    <row r="82" spans="1:5" ht="12.75">
      <c r="A82" s="4" t="s">
        <v>165</v>
      </c>
      <c r="B82" s="4" t="s">
        <v>167</v>
      </c>
      <c r="C82" s="4" t="s">
        <v>14</v>
      </c>
      <c r="D82" s="4" t="s">
        <v>14</v>
      </c>
      <c r="E82" s="5" t="s">
        <v>158</v>
      </c>
    </row>
    <row r="83" spans="1:5" ht="12.75">
      <c r="A83" s="4" t="s">
        <v>168</v>
      </c>
      <c r="B83" s="4" t="s">
        <v>169</v>
      </c>
      <c r="C83" s="4" t="s">
        <v>14</v>
      </c>
      <c r="D83" s="4" t="s">
        <v>14</v>
      </c>
      <c r="E83" s="5" t="s">
        <v>158</v>
      </c>
    </row>
    <row r="84" spans="1:5" ht="12.75">
      <c r="A84" s="4" t="s">
        <v>170</v>
      </c>
      <c r="B84" s="4" t="s">
        <v>171</v>
      </c>
      <c r="C84" s="4" t="s">
        <v>20</v>
      </c>
      <c r="D84" s="4" t="s">
        <v>10</v>
      </c>
      <c r="E84" s="5" t="s">
        <v>158</v>
      </c>
    </row>
    <row r="85" spans="1:5" ht="12.75">
      <c r="A85" s="4" t="s">
        <v>18</v>
      </c>
      <c r="B85" s="4" t="s">
        <v>19</v>
      </c>
      <c r="C85" s="4" t="s">
        <v>20</v>
      </c>
      <c r="D85" s="4" t="s">
        <v>10</v>
      </c>
      <c r="E85" s="5" t="s">
        <v>158</v>
      </c>
    </row>
    <row r="86" spans="1:5" ht="12.75">
      <c r="A86" s="4" t="s">
        <v>172</v>
      </c>
      <c r="B86" s="4" t="s">
        <v>173</v>
      </c>
      <c r="C86" s="4" t="s">
        <v>14</v>
      </c>
      <c r="D86" s="4" t="s">
        <v>14</v>
      </c>
      <c r="E86" s="5" t="s">
        <v>158</v>
      </c>
    </row>
    <row r="87" spans="1:5" ht="12.75">
      <c r="A87" s="4" t="s">
        <v>174</v>
      </c>
      <c r="B87" s="4" t="s">
        <v>175</v>
      </c>
      <c r="C87" s="4" t="s">
        <v>20</v>
      </c>
      <c r="D87" s="4" t="s">
        <v>10</v>
      </c>
      <c r="E87" s="5" t="s">
        <v>158</v>
      </c>
    </row>
    <row r="88" spans="1:5" ht="12.75">
      <c r="A88" s="4" t="s">
        <v>176</v>
      </c>
      <c r="B88" s="4" t="s">
        <v>177</v>
      </c>
      <c r="C88" s="4" t="s">
        <v>9</v>
      </c>
      <c r="D88" s="4" t="s">
        <v>10</v>
      </c>
      <c r="E88" s="5" t="s">
        <v>158</v>
      </c>
    </row>
    <row r="89" spans="1:5" ht="12.75">
      <c r="A89" s="4" t="s">
        <v>178</v>
      </c>
      <c r="B89" s="4" t="s">
        <v>179</v>
      </c>
      <c r="C89" s="4" t="s">
        <v>14</v>
      </c>
      <c r="D89" s="4" t="s">
        <v>14</v>
      </c>
      <c r="E89" s="5" t="s">
        <v>158</v>
      </c>
    </row>
    <row r="90" spans="1:5" ht="12.75">
      <c r="A90" s="4" t="s">
        <v>180</v>
      </c>
      <c r="B90" s="4" t="s">
        <v>181</v>
      </c>
      <c r="C90" s="4" t="s">
        <v>14</v>
      </c>
      <c r="D90" s="4" t="s">
        <v>14</v>
      </c>
      <c r="E90" s="5" t="s">
        <v>158</v>
      </c>
    </row>
    <row r="91" spans="1:5" ht="12.75">
      <c r="A91" s="4" t="s">
        <v>182</v>
      </c>
      <c r="B91" s="4" t="s">
        <v>183</v>
      </c>
      <c r="C91" s="4" t="s">
        <v>20</v>
      </c>
      <c r="D91" s="4" t="s">
        <v>17</v>
      </c>
      <c r="E91" s="5" t="s">
        <v>158</v>
      </c>
    </row>
    <row r="92" spans="1:5" ht="12.75">
      <c r="A92" s="4" t="s">
        <v>182</v>
      </c>
      <c r="B92" s="4" t="s">
        <v>184</v>
      </c>
      <c r="C92" s="4" t="s">
        <v>20</v>
      </c>
      <c r="D92" s="4" t="s">
        <v>17</v>
      </c>
      <c r="E92" s="5" t="s">
        <v>158</v>
      </c>
    </row>
    <row r="93" spans="1:5" ht="12.75">
      <c r="A93" s="4" t="s">
        <v>185</v>
      </c>
      <c r="B93" s="4" t="s">
        <v>186</v>
      </c>
      <c r="C93" s="4" t="s">
        <v>14</v>
      </c>
      <c r="D93" s="4" t="s">
        <v>14</v>
      </c>
      <c r="E93" s="5" t="s">
        <v>158</v>
      </c>
    </row>
    <row r="94" spans="1:5" ht="12.75">
      <c r="A94" s="4" t="s">
        <v>187</v>
      </c>
      <c r="B94" s="4" t="s">
        <v>188</v>
      </c>
      <c r="C94" s="4" t="s">
        <v>20</v>
      </c>
      <c r="D94" s="4" t="s">
        <v>17</v>
      </c>
      <c r="E94" s="5" t="s">
        <v>158</v>
      </c>
    </row>
    <row r="95" spans="1:5" ht="12.75">
      <c r="A95" s="4" t="s">
        <v>189</v>
      </c>
      <c r="B95" s="4" t="s">
        <v>190</v>
      </c>
      <c r="C95" s="4" t="s">
        <v>9</v>
      </c>
      <c r="D95" s="4" t="s">
        <v>10</v>
      </c>
      <c r="E95" s="5" t="s">
        <v>158</v>
      </c>
    </row>
    <row r="96" spans="1:5" ht="12.75">
      <c r="A96" s="4" t="s">
        <v>189</v>
      </c>
      <c r="B96" s="4" t="s">
        <v>191</v>
      </c>
      <c r="C96" s="4" t="s">
        <v>9</v>
      </c>
      <c r="D96" s="4" t="s">
        <v>10</v>
      </c>
      <c r="E96" s="5" t="s">
        <v>158</v>
      </c>
    </row>
    <row r="97" spans="1:5" ht="12.75">
      <c r="A97" s="4" t="s">
        <v>28</v>
      </c>
      <c r="B97" s="4" t="s">
        <v>192</v>
      </c>
      <c r="C97" s="4" t="s">
        <v>9</v>
      </c>
      <c r="D97" s="4" t="s">
        <v>14</v>
      </c>
      <c r="E97" s="5" t="s">
        <v>158</v>
      </c>
    </row>
    <row r="98" spans="1:5" ht="12.75">
      <c r="A98" s="4" t="s">
        <v>28</v>
      </c>
      <c r="B98" s="4" t="s">
        <v>193</v>
      </c>
      <c r="C98" s="4" t="s">
        <v>9</v>
      </c>
      <c r="D98" s="4" t="s">
        <v>14</v>
      </c>
      <c r="E98" s="5" t="s">
        <v>158</v>
      </c>
    </row>
    <row r="99" spans="1:5" ht="12.75">
      <c r="A99" s="4" t="s">
        <v>28</v>
      </c>
      <c r="B99" s="4" t="s">
        <v>194</v>
      </c>
      <c r="C99" s="4" t="s">
        <v>9</v>
      </c>
      <c r="D99" s="4" t="s">
        <v>14</v>
      </c>
      <c r="E99" s="5" t="s">
        <v>158</v>
      </c>
    </row>
    <row r="100" spans="1:5" ht="12.75">
      <c r="A100" s="4" t="s">
        <v>28</v>
      </c>
      <c r="B100" s="4" t="s">
        <v>30</v>
      </c>
      <c r="C100" s="4" t="s">
        <v>20</v>
      </c>
      <c r="D100" s="4" t="s">
        <v>17</v>
      </c>
      <c r="E100" s="5" t="s">
        <v>158</v>
      </c>
    </row>
    <row r="101" spans="1:5" ht="12.75">
      <c r="A101" s="4" t="s">
        <v>28</v>
      </c>
      <c r="B101" s="4" t="s">
        <v>195</v>
      </c>
      <c r="C101" s="4" t="s">
        <v>9</v>
      </c>
      <c r="D101" s="4" t="s">
        <v>10</v>
      </c>
      <c r="E101" s="5" t="s">
        <v>158</v>
      </c>
    </row>
    <row r="102" spans="1:5" ht="12.75">
      <c r="A102" s="4" t="s">
        <v>28</v>
      </c>
      <c r="B102" s="4" t="s">
        <v>196</v>
      </c>
      <c r="C102" s="4" t="s">
        <v>14</v>
      </c>
      <c r="D102" s="4" t="s">
        <v>14</v>
      </c>
      <c r="E102" s="5" t="s">
        <v>158</v>
      </c>
    </row>
    <row r="103" spans="1:5" ht="12.75">
      <c r="A103" s="4" t="s">
        <v>197</v>
      </c>
      <c r="B103" s="4" t="s">
        <v>198</v>
      </c>
      <c r="C103" s="4" t="s">
        <v>20</v>
      </c>
      <c r="D103" s="4" t="s">
        <v>14</v>
      </c>
      <c r="E103" s="5" t="s">
        <v>158</v>
      </c>
    </row>
    <row r="104" spans="1:5" ht="12.75">
      <c r="A104" s="4" t="s">
        <v>199</v>
      </c>
      <c r="B104" s="4" t="s">
        <v>200</v>
      </c>
      <c r="C104" s="4" t="s">
        <v>9</v>
      </c>
      <c r="D104" s="4" t="s">
        <v>10</v>
      </c>
      <c r="E104" s="5" t="s">
        <v>158</v>
      </c>
    </row>
    <row r="105" spans="1:5" ht="12.75">
      <c r="A105" s="4" t="s">
        <v>201</v>
      </c>
      <c r="B105" s="4" t="s">
        <v>202</v>
      </c>
      <c r="C105" s="4" t="s">
        <v>14</v>
      </c>
      <c r="D105" s="4" t="s">
        <v>14</v>
      </c>
      <c r="E105" s="5" t="s">
        <v>158</v>
      </c>
    </row>
    <row r="106" spans="1:5" ht="12.75">
      <c r="A106" s="4" t="s">
        <v>203</v>
      </c>
      <c r="B106" s="4" t="s">
        <v>204</v>
      </c>
      <c r="C106" s="4" t="s">
        <v>14</v>
      </c>
      <c r="D106" s="4" t="s">
        <v>14</v>
      </c>
      <c r="E106" s="5" t="s">
        <v>158</v>
      </c>
    </row>
    <row r="107" spans="1:5" ht="12.75">
      <c r="A107" s="4" t="s">
        <v>203</v>
      </c>
      <c r="B107" s="4" t="s">
        <v>205</v>
      </c>
      <c r="C107" s="4" t="s">
        <v>206</v>
      </c>
      <c r="D107" s="4" t="s">
        <v>14</v>
      </c>
      <c r="E107" s="5" t="s">
        <v>158</v>
      </c>
    </row>
    <row r="108" spans="1:5" ht="12.75">
      <c r="A108" s="4" t="s">
        <v>203</v>
      </c>
      <c r="B108" s="4" t="s">
        <v>207</v>
      </c>
      <c r="C108" s="4" t="s">
        <v>9</v>
      </c>
      <c r="D108" s="4" t="s">
        <v>17</v>
      </c>
      <c r="E108" s="5" t="s">
        <v>158</v>
      </c>
    </row>
    <row r="109" spans="1:5" ht="12.75">
      <c r="A109" s="4" t="s">
        <v>208</v>
      </c>
      <c r="B109" s="4" t="s">
        <v>209</v>
      </c>
      <c r="C109" s="4" t="s">
        <v>9</v>
      </c>
      <c r="D109" s="4" t="s">
        <v>10</v>
      </c>
      <c r="E109" s="5" t="s">
        <v>158</v>
      </c>
    </row>
    <row r="110" spans="1:5" ht="12.75">
      <c r="A110" s="4" t="s">
        <v>210</v>
      </c>
      <c r="B110" s="4" t="s">
        <v>211</v>
      </c>
      <c r="C110" s="4" t="s">
        <v>14</v>
      </c>
      <c r="D110" s="4" t="s">
        <v>14</v>
      </c>
      <c r="E110" s="5" t="s">
        <v>158</v>
      </c>
    </row>
    <row r="111" spans="1:5" ht="12.75">
      <c r="A111" s="4" t="s">
        <v>212</v>
      </c>
      <c r="B111" s="4" t="s">
        <v>213</v>
      </c>
      <c r="C111" s="4" t="s">
        <v>9</v>
      </c>
      <c r="D111" s="4" t="s">
        <v>10</v>
      </c>
      <c r="E111" s="5" t="s">
        <v>158</v>
      </c>
    </row>
    <row r="112" spans="1:5" ht="12.75">
      <c r="A112" s="4" t="s">
        <v>214</v>
      </c>
      <c r="B112" s="4" t="s">
        <v>215</v>
      </c>
      <c r="C112" s="4" t="s">
        <v>20</v>
      </c>
      <c r="D112" s="4" t="s">
        <v>10</v>
      </c>
      <c r="E112" s="5" t="s">
        <v>158</v>
      </c>
    </row>
    <row r="113" spans="1:6" ht="12.75">
      <c r="A113" s="4" t="s">
        <v>216</v>
      </c>
      <c r="B113" s="4" t="s">
        <v>217</v>
      </c>
      <c r="C113" s="4" t="s">
        <v>27</v>
      </c>
      <c r="D113" s="4" t="s">
        <v>10</v>
      </c>
      <c r="E113" s="5" t="s">
        <v>158</v>
      </c>
    </row>
    <row r="114" spans="1:6" ht="12.75">
      <c r="A114" s="4" t="s">
        <v>218</v>
      </c>
      <c r="B114" s="4" t="s">
        <v>219</v>
      </c>
      <c r="C114" s="4" t="s">
        <v>20</v>
      </c>
      <c r="D114" s="4" t="s">
        <v>10</v>
      </c>
      <c r="E114" s="5" t="s">
        <v>158</v>
      </c>
    </row>
    <row r="115" spans="1:6" ht="12.75">
      <c r="A115" s="4" t="s">
        <v>220</v>
      </c>
      <c r="B115" s="4" t="s">
        <v>221</v>
      </c>
      <c r="C115" s="4" t="s">
        <v>20</v>
      </c>
      <c r="D115" s="4" t="s">
        <v>10</v>
      </c>
      <c r="E115" s="5" t="s">
        <v>158</v>
      </c>
    </row>
    <row r="116" spans="1:6" ht="12.75">
      <c r="A116" s="4" t="s">
        <v>222</v>
      </c>
      <c r="B116" s="4" t="s">
        <v>223</v>
      </c>
      <c r="C116" s="4" t="s">
        <v>14</v>
      </c>
      <c r="D116" s="4" t="s">
        <v>14</v>
      </c>
      <c r="E116" s="5" t="s">
        <v>158</v>
      </c>
    </row>
    <row r="117" spans="1:6" ht="12.75">
      <c r="A117" s="4" t="s">
        <v>222</v>
      </c>
      <c r="B117" s="4" t="s">
        <v>223</v>
      </c>
      <c r="C117" s="4" t="s">
        <v>14</v>
      </c>
      <c r="D117" s="4" t="s">
        <v>14</v>
      </c>
      <c r="E117" s="5" t="s">
        <v>158</v>
      </c>
    </row>
    <row r="118" spans="1:6" ht="12.75">
      <c r="A118" s="4" t="s">
        <v>224</v>
      </c>
      <c r="B118" s="4" t="s">
        <v>225</v>
      </c>
      <c r="C118" s="4" t="s">
        <v>14</v>
      </c>
      <c r="D118" s="4" t="s">
        <v>14</v>
      </c>
      <c r="E118" s="5" t="s">
        <v>158</v>
      </c>
    </row>
    <row r="119" spans="1:6" ht="12.75">
      <c r="A119" s="4" t="s">
        <v>226</v>
      </c>
      <c r="B119" s="4" t="s">
        <v>227</v>
      </c>
      <c r="C119" s="4" t="s">
        <v>14</v>
      </c>
      <c r="D119" s="4" t="s">
        <v>14</v>
      </c>
      <c r="E119" s="5" t="s">
        <v>158</v>
      </c>
    </row>
    <row r="120" spans="1:6" ht="12.75">
      <c r="A120" s="4" t="s">
        <v>228</v>
      </c>
      <c r="B120" s="4" t="s">
        <v>229</v>
      </c>
      <c r="C120" s="4" t="s">
        <v>14</v>
      </c>
      <c r="D120" s="4" t="s">
        <v>14</v>
      </c>
      <c r="E120" s="5" t="s">
        <v>158</v>
      </c>
    </row>
    <row r="121" spans="1:6" ht="12.75">
      <c r="A121" s="4" t="s">
        <v>230</v>
      </c>
      <c r="B121" s="4" t="s">
        <v>231</v>
      </c>
      <c r="C121" s="4" t="s">
        <v>14</v>
      </c>
      <c r="D121" s="4" t="s">
        <v>14</v>
      </c>
      <c r="E121" s="5" t="s">
        <v>158</v>
      </c>
    </row>
    <row r="122" spans="1:6" ht="12.75">
      <c r="A122" s="4" t="s">
        <v>232</v>
      </c>
      <c r="B122" s="4" t="s">
        <v>233</v>
      </c>
      <c r="C122" s="4" t="s">
        <v>14</v>
      </c>
      <c r="D122" s="4" t="s">
        <v>14</v>
      </c>
      <c r="E122" s="5" t="s">
        <v>158</v>
      </c>
    </row>
    <row r="123" spans="1:6" ht="12.75">
      <c r="A123" s="4" t="s">
        <v>234</v>
      </c>
      <c r="B123" s="4" t="s">
        <v>235</v>
      </c>
      <c r="C123" s="4" t="s">
        <v>14</v>
      </c>
      <c r="D123" s="4" t="s">
        <v>14</v>
      </c>
      <c r="E123" s="5" t="s">
        <v>158</v>
      </c>
    </row>
    <row r="124" spans="1:6" ht="12.75">
      <c r="A124" s="4" t="s">
        <v>236</v>
      </c>
      <c r="B124" s="4" t="s">
        <v>237</v>
      </c>
      <c r="C124" s="4" t="s">
        <v>20</v>
      </c>
      <c r="D124" s="4" t="s">
        <v>14</v>
      </c>
      <c r="E124" s="5" t="s">
        <v>158</v>
      </c>
    </row>
    <row r="125" spans="1:6" ht="12.75">
      <c r="A125" s="5" t="s">
        <v>238</v>
      </c>
      <c r="B125" s="5" t="s">
        <v>239</v>
      </c>
      <c r="C125" s="5" t="s">
        <v>20</v>
      </c>
      <c r="D125" s="5" t="s">
        <v>10</v>
      </c>
      <c r="E125" s="6" t="s">
        <v>11</v>
      </c>
      <c r="F125" s="5" t="s">
        <v>88</v>
      </c>
    </row>
    <row r="126" spans="1:6" ht="12.75">
      <c r="A126" s="5" t="s">
        <v>240</v>
      </c>
      <c r="B126" s="5" t="s">
        <v>241</v>
      </c>
      <c r="C126" s="5" t="s">
        <v>9</v>
      </c>
      <c r="D126" s="5" t="s">
        <v>10</v>
      </c>
      <c r="E126" s="5" t="s">
        <v>242</v>
      </c>
    </row>
    <row r="127" spans="1:6" ht="12.75">
      <c r="A127" s="5" t="s">
        <v>243</v>
      </c>
      <c r="B127" s="5" t="s">
        <v>244</v>
      </c>
      <c r="C127" s="5" t="s">
        <v>20</v>
      </c>
      <c r="D127" s="5" t="s">
        <v>10</v>
      </c>
      <c r="E127" s="5" t="s">
        <v>242</v>
      </c>
    </row>
    <row r="128" spans="1:6" ht="12.75">
      <c r="A128" s="5" t="s">
        <v>245</v>
      </c>
      <c r="B128" s="5" t="s">
        <v>246</v>
      </c>
      <c r="C128" s="5" t="s">
        <v>14</v>
      </c>
      <c r="D128" s="5" t="s">
        <v>14</v>
      </c>
      <c r="E128" s="5" t="s">
        <v>242</v>
      </c>
    </row>
    <row r="129" spans="1:5" ht="12.75">
      <c r="A129" s="5" t="s">
        <v>247</v>
      </c>
      <c r="B129" s="5" t="s">
        <v>248</v>
      </c>
      <c r="C129" s="5" t="s">
        <v>14</v>
      </c>
      <c r="D129" s="5" t="s">
        <v>14</v>
      </c>
      <c r="E129" s="5" t="s">
        <v>242</v>
      </c>
    </row>
    <row r="130" spans="1:5" ht="12.75">
      <c r="A130" s="5" t="s">
        <v>249</v>
      </c>
      <c r="B130" s="5" t="s">
        <v>250</v>
      </c>
      <c r="C130" s="5" t="s">
        <v>9</v>
      </c>
      <c r="D130" s="5" t="s">
        <v>14</v>
      </c>
      <c r="E130" s="5" t="s">
        <v>242</v>
      </c>
    </row>
    <row r="131" spans="1:5" ht="12.75">
      <c r="A131" s="5" t="s">
        <v>251</v>
      </c>
      <c r="B131" s="5" t="s">
        <v>252</v>
      </c>
      <c r="C131" s="5" t="s">
        <v>9</v>
      </c>
      <c r="D131" s="5" t="s">
        <v>17</v>
      </c>
      <c r="E131" s="5" t="s">
        <v>242</v>
      </c>
    </row>
    <row r="132" spans="1:5" ht="12.75">
      <c r="A132" s="5" t="s">
        <v>253</v>
      </c>
      <c r="B132" s="5" t="s">
        <v>254</v>
      </c>
      <c r="C132" s="5" t="s">
        <v>9</v>
      </c>
      <c r="D132" s="5" t="s">
        <v>10</v>
      </c>
      <c r="E132" s="5" t="s">
        <v>242</v>
      </c>
    </row>
    <row r="133" spans="1:5" ht="12.75">
      <c r="A133" s="5" t="s">
        <v>255</v>
      </c>
      <c r="B133" s="5" t="s">
        <v>256</v>
      </c>
      <c r="C133" s="5" t="s">
        <v>20</v>
      </c>
      <c r="D133" s="5" t="s">
        <v>10</v>
      </c>
      <c r="E133" s="5" t="s">
        <v>242</v>
      </c>
    </row>
    <row r="134" spans="1:5" ht="12.75">
      <c r="A134" s="5" t="s">
        <v>257</v>
      </c>
      <c r="B134" s="5" t="s">
        <v>258</v>
      </c>
      <c r="C134" s="5" t="s">
        <v>27</v>
      </c>
      <c r="D134" s="5" t="s">
        <v>10</v>
      </c>
      <c r="E134" s="5" t="s">
        <v>242</v>
      </c>
    </row>
    <row r="135" spans="1:5" ht="12.75">
      <c r="A135" s="5" t="s">
        <v>259</v>
      </c>
      <c r="B135" s="5" t="s">
        <v>260</v>
      </c>
      <c r="C135" s="5" t="s">
        <v>9</v>
      </c>
      <c r="D135" s="5" t="s">
        <v>10</v>
      </c>
      <c r="E135" s="5" t="s">
        <v>242</v>
      </c>
    </row>
    <row r="136" spans="1:5" ht="12.75">
      <c r="A136" s="5" t="s">
        <v>261</v>
      </c>
      <c r="B136" s="5" t="s">
        <v>262</v>
      </c>
      <c r="C136" s="5" t="s">
        <v>14</v>
      </c>
      <c r="D136" s="5" t="s">
        <v>14</v>
      </c>
      <c r="E136" s="5" t="s">
        <v>242</v>
      </c>
    </row>
    <row r="137" spans="1:5" ht="12.75">
      <c r="A137" s="5" t="s">
        <v>263</v>
      </c>
      <c r="B137" s="5" t="s">
        <v>264</v>
      </c>
      <c r="C137" s="5" t="s">
        <v>9</v>
      </c>
      <c r="D137" s="5" t="s">
        <v>10</v>
      </c>
      <c r="E137" s="5" t="s">
        <v>242</v>
      </c>
    </row>
    <row r="138" spans="1:5" ht="12.75">
      <c r="A138" s="5" t="s">
        <v>265</v>
      </c>
      <c r="B138" s="5" t="s">
        <v>266</v>
      </c>
      <c r="C138" s="5" t="s">
        <v>20</v>
      </c>
      <c r="D138" s="5" t="s">
        <v>10</v>
      </c>
      <c r="E138" s="5" t="s">
        <v>242</v>
      </c>
    </row>
    <row r="139" spans="1:5" ht="12.75">
      <c r="A139" s="5" t="s">
        <v>267</v>
      </c>
      <c r="B139" s="5" t="s">
        <v>268</v>
      </c>
      <c r="C139" s="5" t="s">
        <v>9</v>
      </c>
      <c r="D139" s="5" t="s">
        <v>10</v>
      </c>
      <c r="E139" s="5" t="s">
        <v>242</v>
      </c>
    </row>
    <row r="140" spans="1:5" ht="12.75">
      <c r="A140" s="5" t="s">
        <v>269</v>
      </c>
      <c r="B140" s="5" t="s">
        <v>270</v>
      </c>
      <c r="C140" s="5" t="s">
        <v>9</v>
      </c>
      <c r="D140" s="5" t="s">
        <v>17</v>
      </c>
      <c r="E140" s="5" t="s">
        <v>242</v>
      </c>
    </row>
    <row r="141" spans="1:5" ht="12.75">
      <c r="A141" s="5" t="s">
        <v>271</v>
      </c>
      <c r="B141" s="5" t="s">
        <v>272</v>
      </c>
      <c r="C141" s="5" t="s">
        <v>9</v>
      </c>
      <c r="D141" s="5" t="s">
        <v>10</v>
      </c>
      <c r="E141" s="5" t="s">
        <v>242</v>
      </c>
    </row>
    <row r="142" spans="1:5" ht="12.75">
      <c r="A142" s="5" t="s">
        <v>273</v>
      </c>
      <c r="B142" s="5" t="s">
        <v>274</v>
      </c>
      <c r="C142" s="5" t="s">
        <v>9</v>
      </c>
      <c r="D142" s="5" t="s">
        <v>10</v>
      </c>
      <c r="E142" s="5" t="s">
        <v>242</v>
      </c>
    </row>
    <row r="144" spans="1:5" s="14" customFormat="1" ht="15.75" customHeight="1"/>
    <row r="145" spans="1:7" s="14" customFormat="1" ht="21.75" customHeight="1">
      <c r="A145" s="27" t="s">
        <v>322</v>
      </c>
      <c r="B145" s="22" t="s">
        <v>285</v>
      </c>
      <c r="C145" s="28" t="s">
        <v>323</v>
      </c>
      <c r="D145" s="28" t="s">
        <v>324</v>
      </c>
      <c r="E145" s="28" t="s">
        <v>325</v>
      </c>
      <c r="F145" s="28" t="s">
        <v>326</v>
      </c>
      <c r="G145" s="28" t="s">
        <v>327</v>
      </c>
    </row>
    <row r="146" spans="1:7" ht="15.75" customHeight="1">
      <c r="A146" s="20"/>
      <c r="B146" s="20"/>
      <c r="C146" s="29"/>
      <c r="D146" s="30"/>
      <c r="E146" s="30"/>
      <c r="F146" s="30"/>
      <c r="G146" s="30"/>
    </row>
    <row r="147" spans="1:7" ht="39.75" customHeight="1">
      <c r="A147" s="21" t="s">
        <v>328</v>
      </c>
      <c r="B147" s="22" t="s">
        <v>285</v>
      </c>
      <c r="C147" s="28" t="s">
        <v>323</v>
      </c>
      <c r="D147" s="28" t="s">
        <v>324</v>
      </c>
      <c r="E147" s="28" t="s">
        <v>325</v>
      </c>
      <c r="F147" s="28" t="s">
        <v>326</v>
      </c>
      <c r="G147" s="28" t="s">
        <v>327</v>
      </c>
    </row>
    <row r="148" spans="1:7" s="14" customFormat="1" ht="21.75" customHeight="1">
      <c r="A148" s="17" t="s">
        <v>277</v>
      </c>
      <c r="B148" s="17" t="s">
        <v>11</v>
      </c>
      <c r="C148" s="31" t="s">
        <v>329</v>
      </c>
      <c r="D148" s="32" t="s">
        <v>330</v>
      </c>
      <c r="E148" s="32" t="s">
        <v>331</v>
      </c>
      <c r="F148" s="32" t="s">
        <v>331</v>
      </c>
      <c r="G148" s="32" t="s">
        <v>330</v>
      </c>
    </row>
    <row r="149" spans="1:7" ht="15.75" customHeight="1">
      <c r="A149" s="17" t="s">
        <v>278</v>
      </c>
      <c r="B149" s="17" t="s">
        <v>158</v>
      </c>
      <c r="C149" s="31" t="s">
        <v>329</v>
      </c>
      <c r="D149" s="32" t="s">
        <v>331</v>
      </c>
      <c r="E149" s="32" t="s">
        <v>330</v>
      </c>
      <c r="F149" s="32" t="s">
        <v>331</v>
      </c>
      <c r="G149" s="32" t="s">
        <v>331</v>
      </c>
    </row>
    <row r="150" spans="1:7" ht="15.75" customHeight="1">
      <c r="A150" s="17" t="s">
        <v>279</v>
      </c>
      <c r="B150" s="17" t="s">
        <v>158</v>
      </c>
      <c r="C150" s="31" t="s">
        <v>329</v>
      </c>
      <c r="D150" s="32" t="s">
        <v>330</v>
      </c>
      <c r="E150" s="32" t="s">
        <v>331</v>
      </c>
      <c r="F150" s="32" t="s">
        <v>331</v>
      </c>
      <c r="G150" s="32" t="s">
        <v>330</v>
      </c>
    </row>
    <row r="151" spans="1:7" ht="15.75" customHeight="1">
      <c r="A151" s="17" t="s">
        <v>280</v>
      </c>
      <c r="B151" s="17" t="s">
        <v>158</v>
      </c>
      <c r="C151" s="31" t="s">
        <v>329</v>
      </c>
      <c r="D151" s="32" t="s">
        <v>330</v>
      </c>
      <c r="E151" s="32" t="s">
        <v>331</v>
      </c>
      <c r="F151" s="32" t="s">
        <v>331</v>
      </c>
      <c r="G151" s="32" t="s">
        <v>331</v>
      </c>
    </row>
    <row r="152" spans="1:7" ht="15.75" customHeight="1">
      <c r="A152" s="17" t="s">
        <v>281</v>
      </c>
      <c r="B152" s="18" t="s">
        <v>158</v>
      </c>
      <c r="C152" s="31" t="s">
        <v>332</v>
      </c>
      <c r="D152" s="32" t="s">
        <v>330</v>
      </c>
      <c r="E152" s="32" t="s">
        <v>331</v>
      </c>
      <c r="F152" s="32" t="s">
        <v>331</v>
      </c>
      <c r="G152" s="32" t="s">
        <v>330</v>
      </c>
    </row>
    <row r="153" spans="1:7" ht="15.75" customHeight="1">
      <c r="A153" s="17" t="s">
        <v>282</v>
      </c>
      <c r="B153" s="17" t="s">
        <v>158</v>
      </c>
      <c r="C153" s="31" t="s">
        <v>329</v>
      </c>
      <c r="D153" s="32" t="s">
        <v>330</v>
      </c>
      <c r="E153" s="32" t="s">
        <v>331</v>
      </c>
      <c r="F153" s="32" t="s">
        <v>331</v>
      </c>
      <c r="G153" s="32" t="s">
        <v>330</v>
      </c>
    </row>
    <row r="154" spans="1:7" ht="15.75" customHeight="1">
      <c r="A154" s="19" t="s">
        <v>283</v>
      </c>
      <c r="B154" s="19" t="s">
        <v>158</v>
      </c>
      <c r="C154" s="33" t="s">
        <v>329</v>
      </c>
      <c r="D154" s="32" t="s">
        <v>331</v>
      </c>
      <c r="E154" s="32" t="s">
        <v>330</v>
      </c>
      <c r="F154" s="32" t="s">
        <v>331</v>
      </c>
      <c r="G154" s="32" t="s">
        <v>330</v>
      </c>
    </row>
    <row r="155" spans="1:7" ht="15.75" customHeight="1">
      <c r="A155" s="20"/>
      <c r="B155" s="20"/>
      <c r="C155" s="29"/>
      <c r="D155" s="30"/>
      <c r="E155" s="30"/>
      <c r="F155" s="30"/>
      <c r="G155" s="30"/>
    </row>
    <row r="156" spans="1:7" ht="15.75" customHeight="1">
      <c r="A156" s="21" t="s">
        <v>284</v>
      </c>
      <c r="B156" s="22" t="s">
        <v>285</v>
      </c>
      <c r="C156" s="28" t="s">
        <v>323</v>
      </c>
      <c r="D156" s="28" t="s">
        <v>324</v>
      </c>
      <c r="E156" s="28" t="s">
        <v>325</v>
      </c>
      <c r="F156" s="28" t="s">
        <v>326</v>
      </c>
      <c r="G156" s="28" t="s">
        <v>327</v>
      </c>
    </row>
    <row r="157" spans="1:7" ht="15.75" customHeight="1">
      <c r="A157" s="18" t="s">
        <v>286</v>
      </c>
      <c r="B157" s="17" t="s">
        <v>11</v>
      </c>
      <c r="C157" s="34" t="s">
        <v>329</v>
      </c>
      <c r="D157" s="35" t="s">
        <v>331</v>
      </c>
      <c r="E157" s="35" t="s">
        <v>330</v>
      </c>
      <c r="F157" s="35" t="s">
        <v>331</v>
      </c>
      <c r="G157" s="35" t="s">
        <v>331</v>
      </c>
    </row>
    <row r="158" spans="1:7" ht="15.75" customHeight="1">
      <c r="A158" s="17" t="s">
        <v>287</v>
      </c>
      <c r="B158" s="17" t="s">
        <v>11</v>
      </c>
      <c r="C158" s="31" t="s">
        <v>329</v>
      </c>
      <c r="D158" s="32" t="s">
        <v>331</v>
      </c>
      <c r="E158" s="32" t="s">
        <v>330</v>
      </c>
      <c r="F158" s="32" t="s">
        <v>331</v>
      </c>
      <c r="G158" s="32" t="s">
        <v>331</v>
      </c>
    </row>
    <row r="159" spans="1:7" ht="15.75" customHeight="1">
      <c r="A159" s="17" t="s">
        <v>288</v>
      </c>
      <c r="B159" s="17" t="s">
        <v>11</v>
      </c>
      <c r="C159" s="31" t="s">
        <v>329</v>
      </c>
      <c r="D159" s="32" t="s">
        <v>330</v>
      </c>
      <c r="E159" s="32" t="s">
        <v>331</v>
      </c>
      <c r="F159" s="32" t="s">
        <v>330</v>
      </c>
      <c r="G159" s="32" t="s">
        <v>330</v>
      </c>
    </row>
    <row r="160" spans="1:7" ht="15.75" customHeight="1">
      <c r="A160" s="17" t="s">
        <v>289</v>
      </c>
      <c r="B160" s="17" t="s">
        <v>11</v>
      </c>
      <c r="C160" s="31" t="s">
        <v>329</v>
      </c>
      <c r="D160" s="32" t="s">
        <v>331</v>
      </c>
      <c r="E160" s="32" t="s">
        <v>330</v>
      </c>
      <c r="F160" s="32" t="s">
        <v>331</v>
      </c>
      <c r="G160" s="32" t="s">
        <v>331</v>
      </c>
    </row>
    <row r="161" spans="1:7" ht="15.75" customHeight="1">
      <c r="A161" s="17" t="s">
        <v>290</v>
      </c>
      <c r="B161" s="18" t="s">
        <v>158</v>
      </c>
      <c r="C161" s="31" t="s">
        <v>333</v>
      </c>
      <c r="D161" s="32" t="s">
        <v>331</v>
      </c>
      <c r="E161" s="32" t="s">
        <v>330</v>
      </c>
      <c r="F161" s="32" t="s">
        <v>331</v>
      </c>
      <c r="G161" s="32" t="s">
        <v>331</v>
      </c>
    </row>
    <row r="162" spans="1:7" ht="15.75" customHeight="1">
      <c r="A162" s="17" t="s">
        <v>291</v>
      </c>
      <c r="B162" s="17" t="s">
        <v>158</v>
      </c>
      <c r="C162" s="31" t="s">
        <v>329</v>
      </c>
      <c r="D162" s="32" t="s">
        <v>331</v>
      </c>
      <c r="E162" s="32" t="s">
        <v>330</v>
      </c>
      <c r="F162" s="32" t="s">
        <v>331</v>
      </c>
      <c r="G162" s="32" t="s">
        <v>330</v>
      </c>
    </row>
    <row r="163" spans="1:7" ht="15.75" customHeight="1">
      <c r="A163" s="17" t="s">
        <v>292</v>
      </c>
      <c r="B163" s="17" t="s">
        <v>158</v>
      </c>
      <c r="C163" s="31" t="s">
        <v>329</v>
      </c>
      <c r="D163" s="32" t="s">
        <v>331</v>
      </c>
      <c r="E163" s="32" t="s">
        <v>330</v>
      </c>
      <c r="F163" s="32" t="s">
        <v>331</v>
      </c>
      <c r="G163" s="32" t="s">
        <v>331</v>
      </c>
    </row>
    <row r="164" spans="1:7" ht="15.75" customHeight="1">
      <c r="A164" s="20"/>
      <c r="B164" s="20"/>
      <c r="C164" s="29"/>
      <c r="D164" s="30"/>
      <c r="E164" s="30"/>
      <c r="F164" s="30"/>
      <c r="G164" s="30"/>
    </row>
    <row r="165" spans="1:7" ht="15.75" customHeight="1">
      <c r="A165" s="23" t="s">
        <v>293</v>
      </c>
      <c r="B165" s="22" t="s">
        <v>285</v>
      </c>
      <c r="C165" s="28" t="s">
        <v>323</v>
      </c>
      <c r="D165" s="28" t="s">
        <v>324</v>
      </c>
      <c r="E165" s="28" t="s">
        <v>325</v>
      </c>
      <c r="F165" s="28" t="s">
        <v>326</v>
      </c>
      <c r="G165" s="28" t="s">
        <v>327</v>
      </c>
    </row>
    <row r="166" spans="1:7" ht="15.75" customHeight="1">
      <c r="A166" s="18" t="s">
        <v>294</v>
      </c>
      <c r="B166" s="17" t="s">
        <v>88</v>
      </c>
      <c r="C166" s="34" t="s">
        <v>329</v>
      </c>
      <c r="D166" s="35" t="s">
        <v>331</v>
      </c>
      <c r="E166" s="35" t="s">
        <v>330</v>
      </c>
      <c r="F166" s="35" t="s">
        <v>331</v>
      </c>
      <c r="G166" s="35" t="s">
        <v>331</v>
      </c>
    </row>
    <row r="167" spans="1:7" ht="15.75" customHeight="1">
      <c r="A167" s="17" t="s">
        <v>295</v>
      </c>
      <c r="B167" s="17" t="s">
        <v>88</v>
      </c>
      <c r="C167" s="31" t="s">
        <v>329</v>
      </c>
      <c r="D167" s="32" t="s">
        <v>330</v>
      </c>
      <c r="E167" s="32" t="s">
        <v>330</v>
      </c>
      <c r="F167" s="32" t="s">
        <v>331</v>
      </c>
      <c r="G167" s="32" t="s">
        <v>330</v>
      </c>
    </row>
    <row r="168" spans="1:7" ht="15.75" customHeight="1">
      <c r="A168" s="17" t="s">
        <v>296</v>
      </c>
      <c r="B168" s="17" t="s">
        <v>88</v>
      </c>
      <c r="C168" s="31" t="s">
        <v>329</v>
      </c>
      <c r="D168" s="32" t="s">
        <v>331</v>
      </c>
      <c r="E168" s="32" t="s">
        <v>331</v>
      </c>
      <c r="F168" s="32" t="s">
        <v>331</v>
      </c>
      <c r="G168" s="32" t="s">
        <v>331</v>
      </c>
    </row>
    <row r="169" spans="1:7" ht="15.75" customHeight="1">
      <c r="A169" s="17" t="s">
        <v>297</v>
      </c>
      <c r="B169" s="17" t="s">
        <v>158</v>
      </c>
      <c r="C169" s="31" t="s">
        <v>329</v>
      </c>
      <c r="D169" s="32" t="s">
        <v>331</v>
      </c>
      <c r="E169" s="32" t="s">
        <v>331</v>
      </c>
      <c r="F169" s="32" t="s">
        <v>331</v>
      </c>
      <c r="G169" s="32" t="s">
        <v>331</v>
      </c>
    </row>
    <row r="170" spans="1:7" ht="15.75" customHeight="1">
      <c r="A170" s="17" t="s">
        <v>298</v>
      </c>
      <c r="B170" s="17" t="s">
        <v>158</v>
      </c>
      <c r="C170" s="31" t="s">
        <v>329</v>
      </c>
      <c r="D170" s="32" t="s">
        <v>330</v>
      </c>
      <c r="E170" s="32" t="s">
        <v>331</v>
      </c>
      <c r="F170" s="32" t="s">
        <v>331</v>
      </c>
      <c r="G170" s="32" t="s">
        <v>330</v>
      </c>
    </row>
    <row r="171" spans="1:7" ht="15.75" customHeight="1">
      <c r="A171" s="20"/>
      <c r="B171" s="20"/>
      <c r="C171" s="29"/>
      <c r="D171" s="30"/>
      <c r="E171" s="30"/>
      <c r="F171" s="30"/>
      <c r="G171" s="30"/>
    </row>
    <row r="172" spans="1:7" ht="15.75" customHeight="1">
      <c r="A172" s="21" t="s">
        <v>299</v>
      </c>
      <c r="B172" s="22" t="s">
        <v>285</v>
      </c>
      <c r="C172" s="28" t="s">
        <v>323</v>
      </c>
      <c r="D172" s="28" t="s">
        <v>324</v>
      </c>
      <c r="E172" s="28" t="s">
        <v>325</v>
      </c>
      <c r="F172" s="28" t="s">
        <v>326</v>
      </c>
      <c r="G172" s="28" t="s">
        <v>327</v>
      </c>
    </row>
    <row r="173" spans="1:7" ht="15.75" customHeight="1">
      <c r="A173" s="18" t="s">
        <v>300</v>
      </c>
      <c r="B173" s="17" t="s">
        <v>11</v>
      </c>
      <c r="C173" s="34" t="s">
        <v>329</v>
      </c>
      <c r="D173" s="35" t="s">
        <v>330</v>
      </c>
      <c r="E173" s="35" t="s">
        <v>331</v>
      </c>
      <c r="F173" s="35" t="s">
        <v>331</v>
      </c>
      <c r="G173" s="35" t="s">
        <v>330</v>
      </c>
    </row>
    <row r="174" spans="1:7" ht="15.75" customHeight="1">
      <c r="A174" s="18" t="s">
        <v>301</v>
      </c>
      <c r="B174" s="17" t="s">
        <v>158</v>
      </c>
      <c r="C174" s="34" t="s">
        <v>332</v>
      </c>
      <c r="D174" s="35" t="s">
        <v>330</v>
      </c>
      <c r="E174" s="35"/>
      <c r="F174" s="35" t="s">
        <v>331</v>
      </c>
      <c r="G174" s="35" t="s">
        <v>331</v>
      </c>
    </row>
    <row r="175" spans="1:7" ht="15.75" customHeight="1">
      <c r="A175" s="20"/>
      <c r="B175" s="20"/>
      <c r="C175" s="29"/>
      <c r="D175" s="30"/>
      <c r="E175" s="30"/>
      <c r="F175" s="30"/>
      <c r="G175" s="30"/>
    </row>
    <row r="176" spans="1:7" ht="15.75" customHeight="1">
      <c r="A176" s="21" t="s">
        <v>302</v>
      </c>
      <c r="B176" s="22" t="s">
        <v>285</v>
      </c>
      <c r="C176" s="28" t="s">
        <v>323</v>
      </c>
      <c r="D176" s="28" t="s">
        <v>324</v>
      </c>
      <c r="E176" s="28" t="s">
        <v>325</v>
      </c>
      <c r="F176" s="28" t="s">
        <v>326</v>
      </c>
      <c r="G176" s="28" t="s">
        <v>327</v>
      </c>
    </row>
    <row r="177" spans="1:7" ht="15.75" customHeight="1">
      <c r="A177" s="17" t="s">
        <v>303</v>
      </c>
      <c r="B177" s="17" t="s">
        <v>11</v>
      </c>
      <c r="C177" s="31" t="s">
        <v>329</v>
      </c>
      <c r="D177" s="32" t="s">
        <v>331</v>
      </c>
      <c r="E177" s="32" t="s">
        <v>330</v>
      </c>
      <c r="F177" s="32" t="s">
        <v>331</v>
      </c>
      <c r="G177" s="32" t="s">
        <v>331</v>
      </c>
    </row>
    <row r="178" spans="1:7" ht="15.75" customHeight="1">
      <c r="A178" s="17" t="s">
        <v>304</v>
      </c>
      <c r="B178" s="17" t="s">
        <v>11</v>
      </c>
      <c r="C178" s="31" t="s">
        <v>329</v>
      </c>
      <c r="D178" s="32" t="s">
        <v>330</v>
      </c>
      <c r="E178" s="32" t="s">
        <v>331</v>
      </c>
      <c r="F178" s="32" t="s">
        <v>331</v>
      </c>
      <c r="G178" s="32" t="s">
        <v>330</v>
      </c>
    </row>
    <row r="179" spans="1:7" ht="15.75" customHeight="1">
      <c r="A179" s="17" t="s">
        <v>305</v>
      </c>
      <c r="B179" s="17" t="s">
        <v>11</v>
      </c>
      <c r="C179" s="31" t="s">
        <v>332</v>
      </c>
      <c r="D179" s="32" t="s">
        <v>330</v>
      </c>
      <c r="E179" s="32" t="s">
        <v>331</v>
      </c>
      <c r="F179" s="32" t="s">
        <v>331</v>
      </c>
      <c r="G179" s="32" t="s">
        <v>330</v>
      </c>
    </row>
    <row r="180" spans="1:7" ht="15.75" customHeight="1">
      <c r="A180" s="17" t="s">
        <v>306</v>
      </c>
      <c r="B180" s="17" t="s">
        <v>158</v>
      </c>
      <c r="C180" s="31" t="s">
        <v>332</v>
      </c>
      <c r="D180" s="32" t="s">
        <v>331</v>
      </c>
      <c r="E180" s="32" t="s">
        <v>330</v>
      </c>
      <c r="F180" s="32" t="s">
        <v>331</v>
      </c>
      <c r="G180" s="32" t="s">
        <v>331</v>
      </c>
    </row>
    <row r="181" spans="1:7" ht="15.75" customHeight="1">
      <c r="A181" s="17" t="s">
        <v>307</v>
      </c>
      <c r="B181" s="18" t="s">
        <v>158</v>
      </c>
      <c r="C181" s="36" t="s">
        <v>334</v>
      </c>
      <c r="D181" s="32" t="s">
        <v>330</v>
      </c>
      <c r="E181" s="32" t="s">
        <v>331</v>
      </c>
      <c r="F181" s="32" t="s">
        <v>331</v>
      </c>
      <c r="G181" s="32" t="s">
        <v>330</v>
      </c>
    </row>
    <row r="182" spans="1:7" ht="15.75" customHeight="1">
      <c r="A182" s="24" t="s">
        <v>308</v>
      </c>
      <c r="B182" s="18" t="s">
        <v>158</v>
      </c>
      <c r="C182" s="37" t="s">
        <v>332</v>
      </c>
      <c r="D182" s="32" t="s">
        <v>330</v>
      </c>
      <c r="E182" s="32"/>
      <c r="F182" s="32"/>
      <c r="G182" s="32" t="s">
        <v>330</v>
      </c>
    </row>
    <row r="183" spans="1:7" ht="15.75" customHeight="1">
      <c r="A183" s="20"/>
      <c r="B183" s="20"/>
      <c r="C183" s="29"/>
      <c r="D183" s="30"/>
      <c r="E183" s="30"/>
      <c r="F183" s="30"/>
      <c r="G183" s="30"/>
    </row>
    <row r="184" spans="1:7" ht="15.75" customHeight="1">
      <c r="A184" s="21" t="s">
        <v>309</v>
      </c>
      <c r="B184" s="22" t="s">
        <v>285</v>
      </c>
      <c r="C184" s="28" t="s">
        <v>323</v>
      </c>
      <c r="D184" s="28" t="s">
        <v>324</v>
      </c>
      <c r="E184" s="28" t="s">
        <v>325</v>
      </c>
      <c r="F184" s="28" t="s">
        <v>326</v>
      </c>
      <c r="G184" s="28" t="s">
        <v>327</v>
      </c>
    </row>
    <row r="185" spans="1:7" ht="15.75" customHeight="1">
      <c r="A185" s="18" t="s">
        <v>310</v>
      </c>
      <c r="B185" s="17" t="s">
        <v>158</v>
      </c>
      <c r="C185" s="34" t="s">
        <v>329</v>
      </c>
      <c r="D185" s="35" t="s">
        <v>330</v>
      </c>
      <c r="E185" s="35" t="s">
        <v>331</v>
      </c>
      <c r="F185" s="35" t="s">
        <v>331</v>
      </c>
      <c r="G185" s="35" t="s">
        <v>330</v>
      </c>
    </row>
    <row r="186" spans="1:7" ht="15.75" customHeight="1">
      <c r="A186" s="17" t="s">
        <v>311</v>
      </c>
      <c r="B186" s="17" t="s">
        <v>158</v>
      </c>
      <c r="C186" s="31" t="s">
        <v>329</v>
      </c>
      <c r="D186" s="32" t="s">
        <v>331</v>
      </c>
      <c r="E186" s="32" t="s">
        <v>330</v>
      </c>
      <c r="F186" s="32" t="s">
        <v>331</v>
      </c>
      <c r="G186" s="32" t="s">
        <v>331</v>
      </c>
    </row>
    <row r="187" spans="1:7" ht="15.75" customHeight="1">
      <c r="A187" s="25" t="s">
        <v>312</v>
      </c>
      <c r="B187" s="25" t="s">
        <v>158</v>
      </c>
      <c r="C187" s="31" t="s">
        <v>329</v>
      </c>
      <c r="D187" s="32" t="s">
        <v>330</v>
      </c>
      <c r="E187" s="32" t="s">
        <v>331</v>
      </c>
      <c r="F187" s="32" t="s">
        <v>331</v>
      </c>
      <c r="G187" s="32" t="s">
        <v>331</v>
      </c>
    </row>
    <row r="188" spans="1:7" ht="25.5" customHeight="1">
      <c r="A188" s="25" t="s">
        <v>337</v>
      </c>
      <c r="B188" s="25" t="s">
        <v>158</v>
      </c>
      <c r="C188" s="31" t="s">
        <v>332</v>
      </c>
      <c r="D188" s="32" t="s">
        <v>331</v>
      </c>
      <c r="E188" s="32" t="s">
        <v>330</v>
      </c>
      <c r="F188" s="32" t="s">
        <v>331</v>
      </c>
      <c r="G188" s="32" t="s">
        <v>331</v>
      </c>
    </row>
    <row r="189" spans="1:7" ht="15.75" customHeight="1">
      <c r="A189" s="17" t="s">
        <v>313</v>
      </c>
      <c r="B189" s="17" t="s">
        <v>158</v>
      </c>
      <c r="C189" s="31" t="s">
        <v>329</v>
      </c>
      <c r="D189" s="32" t="s">
        <v>331</v>
      </c>
      <c r="E189" s="32" t="s">
        <v>331</v>
      </c>
      <c r="F189" s="32" t="s">
        <v>331</v>
      </c>
      <c r="G189" s="32" t="s">
        <v>331</v>
      </c>
    </row>
    <row r="190" spans="1:7" ht="15.75" customHeight="1">
      <c r="A190" s="20"/>
      <c r="B190" s="20"/>
      <c r="C190" s="29"/>
      <c r="D190" s="30"/>
      <c r="E190" s="30"/>
      <c r="F190" s="30"/>
      <c r="G190" s="30"/>
    </row>
    <row r="191" spans="1:7" ht="15.75" customHeight="1">
      <c r="A191" s="21" t="s">
        <v>314</v>
      </c>
      <c r="B191" s="22" t="s">
        <v>285</v>
      </c>
      <c r="C191" s="28" t="s">
        <v>323</v>
      </c>
      <c r="D191" s="28" t="s">
        <v>324</v>
      </c>
      <c r="E191" s="28" t="s">
        <v>325</v>
      </c>
      <c r="F191" s="28" t="s">
        <v>326</v>
      </c>
      <c r="G191" s="28" t="s">
        <v>327</v>
      </c>
    </row>
    <row r="192" spans="1:7" ht="15.75" customHeight="1">
      <c r="A192" s="17" t="s">
        <v>315</v>
      </c>
      <c r="B192" s="17" t="s">
        <v>242</v>
      </c>
      <c r="C192" s="31" t="s">
        <v>329</v>
      </c>
      <c r="D192" s="32" t="s">
        <v>330</v>
      </c>
      <c r="E192" s="32" t="s">
        <v>331</v>
      </c>
      <c r="F192" s="32" t="s">
        <v>331</v>
      </c>
      <c r="G192" s="32" t="s">
        <v>331</v>
      </c>
    </row>
    <row r="193" spans="1:7" ht="15.75" customHeight="1">
      <c r="A193" s="17" t="s">
        <v>316</v>
      </c>
      <c r="B193" s="17" t="s">
        <v>242</v>
      </c>
      <c r="C193" s="31" t="s">
        <v>329</v>
      </c>
      <c r="D193" s="32" t="s">
        <v>331</v>
      </c>
      <c r="E193" s="32" t="s">
        <v>330</v>
      </c>
      <c r="F193" s="32" t="s">
        <v>331</v>
      </c>
      <c r="G193" s="32" t="s">
        <v>331</v>
      </c>
    </row>
    <row r="194" spans="1:7" ht="15.75" customHeight="1">
      <c r="A194" s="17" t="s">
        <v>317</v>
      </c>
      <c r="B194" s="18" t="s">
        <v>158</v>
      </c>
      <c r="C194" s="31" t="s">
        <v>329</v>
      </c>
      <c r="D194" s="32" t="s">
        <v>331</v>
      </c>
      <c r="E194" s="32" t="s">
        <v>330</v>
      </c>
      <c r="F194" s="32" t="s">
        <v>331</v>
      </c>
      <c r="G194" s="32" t="s">
        <v>331</v>
      </c>
    </row>
    <row r="195" spans="1:7" ht="15.75" customHeight="1">
      <c r="A195" s="17" t="s">
        <v>318</v>
      </c>
      <c r="B195" s="17" t="s">
        <v>158</v>
      </c>
      <c r="C195" s="38" t="s">
        <v>335</v>
      </c>
      <c r="D195" s="32" t="s">
        <v>331</v>
      </c>
      <c r="E195" s="32" t="s">
        <v>331</v>
      </c>
      <c r="F195" s="32" t="s">
        <v>330</v>
      </c>
      <c r="G195" s="32" t="s">
        <v>331</v>
      </c>
    </row>
  </sheetData>
  <mergeCells count="1">
    <mergeCell ref="B1:C1"/>
  </mergeCells>
  <conditionalFormatting sqref="D145:G145">
    <cfRule type="cellIs" dxfId="31" priority="43" operator="equal">
      <formula>"X"</formula>
    </cfRule>
    <cfRule type="cellIs" dxfId="30" priority="44" operator="equal">
      <formula>"?"</formula>
    </cfRule>
  </conditionalFormatting>
  <conditionalFormatting sqref="D146:G146">
    <cfRule type="cellIs" dxfId="29" priority="35" operator="equal">
      <formula>"X"</formula>
    </cfRule>
    <cfRule type="cellIs" dxfId="28" priority="36" operator="equal">
      <formula>"?"</formula>
    </cfRule>
  </conditionalFormatting>
  <conditionalFormatting sqref="D147:G147">
    <cfRule type="cellIs" dxfId="27" priority="33" operator="equal">
      <formula>"X"</formula>
    </cfRule>
    <cfRule type="cellIs" dxfId="26" priority="34" operator="equal">
      <formula>"?"</formula>
    </cfRule>
  </conditionalFormatting>
  <conditionalFormatting sqref="D157">
    <cfRule type="cellIs" dxfId="25" priority="25" operator="equal">
      <formula>"X"</formula>
    </cfRule>
    <cfRule type="cellIs" dxfId="24" priority="26" operator="equal">
      <formula>"?"</formula>
    </cfRule>
  </conditionalFormatting>
  <conditionalFormatting sqref="D183:G183">
    <cfRule type="cellIs" dxfId="23" priority="23" operator="equal">
      <formula>"X"</formula>
    </cfRule>
    <cfRule type="cellIs" dxfId="22" priority="24" operator="equal">
      <formula>"?"</formula>
    </cfRule>
  </conditionalFormatting>
  <conditionalFormatting sqref="D175:G175">
    <cfRule type="cellIs" dxfId="21" priority="21" operator="equal">
      <formula>"X"</formula>
    </cfRule>
    <cfRule type="cellIs" dxfId="20" priority="22" operator="equal">
      <formula>"?"</formula>
    </cfRule>
  </conditionalFormatting>
  <conditionalFormatting sqref="D171:G171">
    <cfRule type="cellIs" dxfId="19" priority="19" operator="equal">
      <formula>"X"</formula>
    </cfRule>
    <cfRule type="cellIs" dxfId="18" priority="20" operator="equal">
      <formula>"?"</formula>
    </cfRule>
  </conditionalFormatting>
  <conditionalFormatting sqref="D164:G164">
    <cfRule type="cellIs" dxfId="17" priority="17" operator="equal">
      <formula>"X"</formula>
    </cfRule>
    <cfRule type="cellIs" dxfId="16" priority="18" operator="equal">
      <formula>"?"</formula>
    </cfRule>
  </conditionalFormatting>
  <conditionalFormatting sqref="D155:G155">
    <cfRule type="cellIs" dxfId="15" priority="15" operator="equal">
      <formula>"X"</formula>
    </cfRule>
    <cfRule type="cellIs" dxfId="14" priority="16" operator="equal">
      <formula>"?"</formula>
    </cfRule>
  </conditionalFormatting>
  <conditionalFormatting sqref="D190:G190">
    <cfRule type="cellIs" dxfId="13" priority="13" operator="equal">
      <formula>"X"</formula>
    </cfRule>
    <cfRule type="cellIs" dxfId="12" priority="14" operator="equal">
      <formula>"?"</formula>
    </cfRule>
  </conditionalFormatting>
  <conditionalFormatting sqref="D156:G156">
    <cfRule type="cellIs" dxfId="11" priority="11" operator="equal">
      <formula>"X"</formula>
    </cfRule>
    <cfRule type="cellIs" dxfId="10" priority="12" operator="equal">
      <formula>"?"</formula>
    </cfRule>
  </conditionalFormatting>
  <conditionalFormatting sqref="D165:G165">
    <cfRule type="cellIs" dxfId="9" priority="9" operator="equal">
      <formula>"X"</formula>
    </cfRule>
    <cfRule type="cellIs" dxfId="8" priority="10" operator="equal">
      <formula>"?"</formula>
    </cfRule>
  </conditionalFormatting>
  <conditionalFormatting sqref="D172:G172">
    <cfRule type="cellIs" dxfId="7" priority="7" operator="equal">
      <formula>"X"</formula>
    </cfRule>
    <cfRule type="cellIs" dxfId="6" priority="8" operator="equal">
      <formula>"?"</formula>
    </cfRule>
  </conditionalFormatting>
  <conditionalFormatting sqref="D176:G176">
    <cfRule type="cellIs" dxfId="5" priority="5" operator="equal">
      <formula>"X"</formula>
    </cfRule>
    <cfRule type="cellIs" dxfId="4" priority="6" operator="equal">
      <formula>"?"</formula>
    </cfRule>
  </conditionalFormatting>
  <conditionalFormatting sqref="D184:G184">
    <cfRule type="cellIs" dxfId="3" priority="3" operator="equal">
      <formula>"X"</formula>
    </cfRule>
    <cfRule type="cellIs" dxfId="2" priority="4" operator="equal">
      <formula>"?"</formula>
    </cfRule>
  </conditionalFormatting>
  <conditionalFormatting sqref="D191:G191">
    <cfRule type="cellIs" dxfId="1" priority="1" operator="equal">
      <formula>"X"</formula>
    </cfRule>
    <cfRule type="cellIs" dxfId="0" priority="2" operator="equal">
      <formula>"?"</formula>
    </cfRule>
  </conditionalFormatting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8"/>
  <sheetViews>
    <sheetView workbookViewId="0">
      <pane ySplit="1" topLeftCell="A2" activePane="bottomLeft" state="frozen"/>
      <selection pane="bottomLeft" activeCell="B3" sqref="B3"/>
    </sheetView>
  </sheetViews>
  <sheetFormatPr defaultColWidth="14.42578125" defaultRowHeight="15.75" customHeight="1"/>
  <cols>
    <col min="1" max="1" width="18.28515625" customWidth="1"/>
    <col min="2" max="2" width="49.5703125" customWidth="1"/>
    <col min="5" max="5" width="16.85546875" customWidth="1"/>
    <col min="6" max="6" width="18.85546875" customWidth="1"/>
    <col min="7" max="7" width="16" customWidth="1"/>
  </cols>
  <sheetData>
    <row r="1" spans="1:26">
      <c r="A1" s="7" t="str">
        <f ca="1">IFERROR(__xludf.DUMMYFUNCTION("QUERY('All-Current'!A:G, ""select * where (E='Bioscience' or F contains 'Bioscience') order by F desc"", 1)"),"Course Number")</f>
        <v>Course Number</v>
      </c>
      <c r="B1" s="8" t="str">
        <f ca="1">IFERROR(__xludf.DUMMYFUNCTION("""COMPUTED_VALUE"""),"Course Name")</f>
        <v>Course Name</v>
      </c>
      <c r="C1" s="8" t="str">
        <f ca="1">IFERROR(__xludf.DUMMYFUNCTION("""COMPUTED_VALUE"""),"Term Offered")</f>
        <v>Term Offered</v>
      </c>
      <c r="D1" s="8" t="str">
        <f ca="1">IFERROR(__xludf.DUMMYFUNCTION("""COMPUTED_VALUE"""),"Frequency")</f>
        <v>Frequency</v>
      </c>
      <c r="E1" s="8" t="str">
        <f ca="1">IFERROR(__xludf.DUMMYFUNCTION("""COMPUTED_VALUE"""),"Category 1")</f>
        <v>Category 1</v>
      </c>
      <c r="F1" s="8" t="str">
        <f ca="1">IFERROR(__xludf.DUMMYFUNCTION("""COMPUTED_VALUE"""),"Category 2")</f>
        <v>Category 2</v>
      </c>
      <c r="G1" s="8" t="str">
        <f ca="1">IFERROR(__xludf.DUMMYFUNCTION("""COMPUTED_VALUE"""),"Cross-Listed As")</f>
        <v>Cross-Listed As</v>
      </c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1:26">
      <c r="A2" s="9" t="str">
        <f ca="1">IFERROR(__xludf.DUMMYFUNCTION("""COMPUTED_VALUE"""),"APPH 6211")</f>
        <v>APPH 6211</v>
      </c>
      <c r="B2" s="9" t="str">
        <f ca="1">IFERROR(__xludf.DUMMYFUNCTION("""COMPUTED_VALUE"""),"Systems physiology")</f>
        <v>Systems physiology</v>
      </c>
      <c r="C2" s="9" t="str">
        <f ca="1">IFERROR(__xludf.DUMMYFUNCTION("""COMPUTED_VALUE"""),"Fall")</f>
        <v>Fall</v>
      </c>
      <c r="D2" s="9" t="str">
        <f ca="1">IFERROR(__xludf.DUMMYFUNCTION("""COMPUTED_VALUE"""),"Every Year")</f>
        <v>Every Year</v>
      </c>
      <c r="E2" s="9" t="str">
        <f ca="1">IFERROR(__xludf.DUMMYFUNCTION("""COMPUTED_VALUE"""),"Bioscience")</f>
        <v>Bioscience</v>
      </c>
      <c r="F2" s="9"/>
      <c r="G2" s="9"/>
    </row>
    <row r="3" spans="1:26">
      <c r="A3" s="9" t="str">
        <f ca="1">IFERROR(__xludf.DUMMYFUNCTION("""COMPUTED_VALUE"""),"BIOL 4570")</f>
        <v>BIOL 4570</v>
      </c>
      <c r="B3" s="9" t="str">
        <f ca="1">IFERROR(__xludf.DUMMYFUNCTION("""COMPUTED_VALUE"""),"Immunology &amp; Immunochem")</f>
        <v>Immunology &amp; Immunochem</v>
      </c>
      <c r="C3" s="9" t="str">
        <f ca="1">IFERROR(__xludf.DUMMYFUNCTION("""COMPUTED_VALUE"""),"Spring")</f>
        <v>Spring</v>
      </c>
      <c r="D3" s="9" t="str">
        <f ca="1">IFERROR(__xludf.DUMMYFUNCTION("""COMPUTED_VALUE"""),"Every Year")</f>
        <v>Every Year</v>
      </c>
      <c r="E3" s="9" t="str">
        <f ca="1">IFERROR(__xludf.DUMMYFUNCTION("""COMPUTED_VALUE"""),"Bioscience")</f>
        <v>Bioscience</v>
      </c>
      <c r="F3" s="9"/>
      <c r="G3" s="9"/>
    </row>
    <row r="4" spans="1:26">
      <c r="A4" s="9" t="str">
        <f ca="1">IFERROR(__xludf.DUMMYFUNCTION("""COMPUTED_VALUE"""),"BIOL 6570")</f>
        <v>BIOL 6570</v>
      </c>
      <c r="B4" s="9" t="str">
        <f ca="1">IFERROR(__xludf.DUMMYFUNCTION("""COMPUTED_VALUE"""),"Immunology")</f>
        <v>Immunology</v>
      </c>
      <c r="C4" s="9" t="str">
        <f ca="1">IFERROR(__xludf.DUMMYFUNCTION("""COMPUTED_VALUE"""),"Varies")</f>
        <v>Varies</v>
      </c>
      <c r="D4" s="9" t="str">
        <f ca="1">IFERROR(__xludf.DUMMYFUNCTION("""COMPUTED_VALUE"""),"Varies")</f>
        <v>Varies</v>
      </c>
      <c r="E4" s="9" t="str">
        <f ca="1">IFERROR(__xludf.DUMMYFUNCTION("""COMPUTED_VALUE"""),"Bioscience")</f>
        <v>Bioscience</v>
      </c>
      <c r="F4" s="9"/>
      <c r="G4" s="9"/>
    </row>
    <row r="5" spans="1:26">
      <c r="A5" s="9" t="str">
        <f ca="1">IFERROR(__xludf.DUMMYFUNCTION("""COMPUTED_VALUE"""),"BIOL 7001")</f>
        <v>BIOL 7001</v>
      </c>
      <c r="B5" s="9" t="str">
        <f ca="1">IFERROR(__xludf.DUMMYFUNCTION("""COMPUTED_VALUE"""),"Foundation in Mol &amp; Cell Biol")</f>
        <v>Foundation in Mol &amp; Cell Biol</v>
      </c>
      <c r="C5" s="9" t="str">
        <f ca="1">IFERROR(__xludf.DUMMYFUNCTION("""COMPUTED_VALUE"""),"Varies")</f>
        <v>Varies</v>
      </c>
      <c r="D5" s="9" t="str">
        <f ca="1">IFERROR(__xludf.DUMMYFUNCTION("""COMPUTED_VALUE"""),"Varies")</f>
        <v>Varies</v>
      </c>
      <c r="E5" s="9" t="str">
        <f ca="1">IFERROR(__xludf.DUMMYFUNCTION("""COMPUTED_VALUE"""),"Bioscience")</f>
        <v>Bioscience</v>
      </c>
      <c r="F5" s="9"/>
      <c r="G5" s="9"/>
    </row>
    <row r="6" spans="1:26">
      <c r="A6" s="9" t="str">
        <f ca="1">IFERROR(__xludf.DUMMYFUNCTION("""COMPUTED_VALUE"""),"BIOL 7015")</f>
        <v>BIOL 7015</v>
      </c>
      <c r="B6" s="9" t="str">
        <f ca="1">IFERROR(__xludf.DUMMYFUNCTION("""COMPUTED_VALUE"""),"Cancer Biology and Biotechnology")</f>
        <v>Cancer Biology and Biotechnology</v>
      </c>
      <c r="C6" s="9" t="str">
        <f ca="1">IFERROR(__xludf.DUMMYFUNCTION("""COMPUTED_VALUE"""),"Fall")</f>
        <v>Fall</v>
      </c>
      <c r="D6" s="9" t="str">
        <f ca="1">IFERROR(__xludf.DUMMYFUNCTION("""COMPUTED_VALUE"""),"Varies")</f>
        <v>Varies</v>
      </c>
      <c r="E6" s="9" t="str">
        <f ca="1">IFERROR(__xludf.DUMMYFUNCTION("""COMPUTED_VALUE"""),"Bioscience")</f>
        <v>Bioscience</v>
      </c>
      <c r="F6" s="9"/>
      <c r="G6" s="9"/>
    </row>
    <row r="7" spans="1:26">
      <c r="A7" s="9" t="str">
        <f ca="1">IFERROR(__xludf.DUMMYFUNCTION("""COMPUTED_VALUE"""),"BIOL 8804")</f>
        <v>BIOL 8804</v>
      </c>
      <c r="B7" s="9" t="str">
        <f ca="1">IFERROR(__xludf.DUMMYFUNCTION("""COMPUTED_VALUE"""),"Foundation of Quant Biosci")</f>
        <v>Foundation of Quant Biosci</v>
      </c>
      <c r="C7" s="9" t="str">
        <f ca="1">IFERROR(__xludf.DUMMYFUNCTION("""COMPUTED_VALUE"""),"Fall")</f>
        <v>Fall</v>
      </c>
      <c r="D7" s="9" t="str">
        <f ca="1">IFERROR(__xludf.DUMMYFUNCTION("""COMPUTED_VALUE"""),"Every other Year")</f>
        <v>Every other Year</v>
      </c>
      <c r="E7" s="9" t="str">
        <f ca="1">IFERROR(__xludf.DUMMYFUNCTION("""COMPUTED_VALUE"""),"Bioscience")</f>
        <v>Bioscience</v>
      </c>
      <c r="F7" s="9"/>
      <c r="G7" s="9"/>
    </row>
    <row r="8" spans="1:26">
      <c r="A8" s="9" t="str">
        <f ca="1">IFERROR(__xludf.DUMMYFUNCTION("""COMPUTED_VALUE"""),"BMED 6042")</f>
        <v>BMED 6042</v>
      </c>
      <c r="B8" s="9" t="str">
        <f ca="1">IFERROR(__xludf.DUMMYFUNCTION("""COMPUTED_VALUE"""),"Systems Physiology")</f>
        <v>Systems Physiology</v>
      </c>
      <c r="C8" s="9" t="str">
        <f ca="1">IFERROR(__xludf.DUMMYFUNCTION("""COMPUTED_VALUE"""),"Fall")</f>
        <v>Fall</v>
      </c>
      <c r="D8" s="9" t="str">
        <f ca="1">IFERROR(__xludf.DUMMYFUNCTION("""COMPUTED_VALUE"""),"Every Year")</f>
        <v>Every Year</v>
      </c>
      <c r="E8" s="9" t="str">
        <f ca="1">IFERROR(__xludf.DUMMYFUNCTION("""COMPUTED_VALUE"""),"Bioscience")</f>
        <v>Bioscience</v>
      </c>
      <c r="F8" s="9"/>
      <c r="G8" s="9"/>
    </row>
    <row r="9" spans="1:26">
      <c r="A9" s="9" t="str">
        <f ca="1">IFERROR(__xludf.DUMMYFUNCTION("""COMPUTED_VALUE"""),"BMED 6793")</f>
        <v>BMED 6793</v>
      </c>
      <c r="B9" s="9" t="str">
        <f ca="1">IFERROR(__xludf.DUMMYFUNCTION("""COMPUTED_VALUE"""),"Systems pathophysiology")</f>
        <v>Systems pathophysiology</v>
      </c>
      <c r="C9" s="9" t="str">
        <f ca="1">IFERROR(__xludf.DUMMYFUNCTION("""COMPUTED_VALUE"""),"Spring")</f>
        <v>Spring</v>
      </c>
      <c r="D9" s="9" t="str">
        <f ca="1">IFERROR(__xludf.DUMMYFUNCTION("""COMPUTED_VALUE"""),"Every Year")</f>
        <v>Every Year</v>
      </c>
      <c r="E9" s="9" t="str">
        <f ca="1">IFERROR(__xludf.DUMMYFUNCTION("""COMPUTED_VALUE"""),"Bioscience")</f>
        <v>Bioscience</v>
      </c>
      <c r="F9" s="9"/>
      <c r="G9" s="9"/>
    </row>
    <row r="10" spans="1:26">
      <c r="A10" s="9" t="str">
        <f ca="1">IFERROR(__xludf.DUMMYFUNCTION("""COMPUTED_VALUE"""),"CHEM 6501")</f>
        <v>CHEM 6501</v>
      </c>
      <c r="B10" s="9" t="str">
        <f ca="1">IFERROR(__xludf.DUMMYFUNCTION("""COMPUTED_VALUE"""),"Biochemistry")</f>
        <v>Biochemistry</v>
      </c>
      <c r="C10" s="9" t="str">
        <f ca="1">IFERROR(__xludf.DUMMYFUNCTION("""COMPUTED_VALUE"""),"Fall/Spring")</f>
        <v>Fall/Spring</v>
      </c>
      <c r="D10" s="9" t="str">
        <f ca="1">IFERROR(__xludf.DUMMYFUNCTION("""COMPUTED_VALUE"""),"Every Year")</f>
        <v>Every Year</v>
      </c>
      <c r="E10" s="9" t="str">
        <f ca="1">IFERROR(__xludf.DUMMYFUNCTION("""COMPUTED_VALUE"""),"Bioscience")</f>
        <v>Bioscience</v>
      </c>
      <c r="F10" s="9"/>
      <c r="G10" s="9"/>
    </row>
    <row r="11" spans="1:26">
      <c r="A11" s="9" t="str">
        <f ca="1">IFERROR(__xludf.DUMMYFUNCTION("""COMPUTED_VALUE"""),"CHEM 6573")</f>
        <v>CHEM 6573</v>
      </c>
      <c r="B11" s="9" t="str">
        <f ca="1">IFERROR(__xludf.DUMMYFUNCTION("""COMPUTED_VALUE"""),"Molecular Biochemstry")</f>
        <v>Molecular Biochemstry</v>
      </c>
      <c r="C11" s="9" t="str">
        <f ca="1">IFERROR(__xludf.DUMMYFUNCTION("""COMPUTED_VALUE"""),"Fall")</f>
        <v>Fall</v>
      </c>
      <c r="D11" s="9" t="str">
        <f ca="1">IFERROR(__xludf.DUMMYFUNCTION("""COMPUTED_VALUE"""),"Every Year")</f>
        <v>Every Year</v>
      </c>
      <c r="E11" s="9" t="str">
        <f ca="1">IFERROR(__xludf.DUMMYFUNCTION("""COMPUTED_VALUE"""),"Bioscience")</f>
        <v>Bioscience</v>
      </c>
      <c r="F11" s="9"/>
      <c r="G11" s="9"/>
    </row>
    <row r="12" spans="1:26">
      <c r="A12" s="9" t="str">
        <f ca="1">IFERROR(__xludf.DUMMYFUNCTION("""COMPUTED_VALUE"""),"IBS 514  (Emory)")</f>
        <v>IBS 514  (Emory)</v>
      </c>
      <c r="B12" s="9" t="str">
        <f ca="1">IFERROR(__xludf.DUMMYFUNCTION("""COMPUTED_VALUE"""),"Cellular and Developmental Neuroscience")</f>
        <v>Cellular and Developmental Neuroscience</v>
      </c>
      <c r="C12" s="9" t="str">
        <f ca="1">IFERROR(__xludf.DUMMYFUNCTION("""COMPUTED_VALUE"""),"Varies")</f>
        <v>Varies</v>
      </c>
      <c r="D12" s="9" t="str">
        <f ca="1">IFERROR(__xludf.DUMMYFUNCTION("""COMPUTED_VALUE"""),"Varies")</f>
        <v>Varies</v>
      </c>
      <c r="E12" s="9" t="str">
        <f ca="1">IFERROR(__xludf.DUMMYFUNCTION("""COMPUTED_VALUE"""),"Bioscience")</f>
        <v>Bioscience</v>
      </c>
      <c r="F12" s="9"/>
      <c r="G12" s="9"/>
    </row>
    <row r="13" spans="1:26">
      <c r="A13" s="9" t="str">
        <f ca="1">IFERROR(__xludf.DUMMYFUNCTION("""COMPUTED_VALUE"""),"IBS 523 (Emory)")</f>
        <v>IBS 523 (Emory)</v>
      </c>
      <c r="B13" s="9" t="str">
        <f ca="1">IFERROR(__xludf.DUMMYFUNCTION("""COMPUTED_VALUE"""),"Cancer Biology I")</f>
        <v>Cancer Biology I</v>
      </c>
      <c r="C13" s="9" t="str">
        <f ca="1">IFERROR(__xludf.DUMMYFUNCTION("""COMPUTED_VALUE"""),"Fall")</f>
        <v>Fall</v>
      </c>
      <c r="D13" s="9" t="str">
        <f ca="1">IFERROR(__xludf.DUMMYFUNCTION("""COMPUTED_VALUE"""),"Every Year")</f>
        <v>Every Year</v>
      </c>
      <c r="E13" s="9" t="str">
        <f ca="1">IFERROR(__xludf.DUMMYFUNCTION("""COMPUTED_VALUE"""),"Bioscience")</f>
        <v>Bioscience</v>
      </c>
      <c r="F13" s="9"/>
      <c r="G13" s="9"/>
    </row>
    <row r="14" spans="1:26">
      <c r="A14" s="9" t="str">
        <f ca="1">IFERROR(__xludf.DUMMYFUNCTION("""COMPUTED_VALUE"""),"IBS 524 (Emory)")</f>
        <v>IBS 524 (Emory)</v>
      </c>
      <c r="B14" s="9" t="str">
        <f ca="1">IFERROR(__xludf.DUMMYFUNCTION("""COMPUTED_VALUE"""),"Cancer Biology II")</f>
        <v>Cancer Biology II</v>
      </c>
      <c r="C14" s="9" t="str">
        <f ca="1">IFERROR(__xludf.DUMMYFUNCTION("""COMPUTED_VALUE"""),"Spring")</f>
        <v>Spring</v>
      </c>
      <c r="D14" s="9" t="str">
        <f ca="1">IFERROR(__xludf.DUMMYFUNCTION("""COMPUTED_VALUE"""),"Every Year")</f>
        <v>Every Year</v>
      </c>
      <c r="E14" s="9" t="str">
        <f ca="1">IFERROR(__xludf.DUMMYFUNCTION("""COMPUTED_VALUE"""),"Bioscience")</f>
        <v>Bioscience</v>
      </c>
      <c r="F14" s="9"/>
      <c r="G14" s="9"/>
    </row>
    <row r="15" spans="1:26">
      <c r="A15" s="9" t="str">
        <f ca="1">IFERROR(__xludf.DUMMYFUNCTION("""COMPUTED_VALUE"""),"IBS 526 (Emory)")</f>
        <v>IBS 526 (Emory)</v>
      </c>
      <c r="B15" s="9" t="str">
        <f ca="1">IFERROR(__xludf.DUMMYFUNCTION("""COMPUTED_VALUE"""),"Neuroanatomy and Systems Neuroscience")</f>
        <v>Neuroanatomy and Systems Neuroscience</v>
      </c>
      <c r="C15" s="9" t="str">
        <f ca="1">IFERROR(__xludf.DUMMYFUNCTION("""COMPUTED_VALUE"""),"Fall")</f>
        <v>Fall</v>
      </c>
      <c r="D15" s="9" t="str">
        <f ca="1">IFERROR(__xludf.DUMMYFUNCTION("""COMPUTED_VALUE"""),"Every Year")</f>
        <v>Every Year</v>
      </c>
      <c r="E15" s="9" t="str">
        <f ca="1">IFERROR(__xludf.DUMMYFUNCTION("""COMPUTED_VALUE"""),"Bioscience")</f>
        <v>Bioscience</v>
      </c>
      <c r="F15" s="9"/>
      <c r="G15" s="9"/>
    </row>
    <row r="16" spans="1:26">
      <c r="A16" s="9" t="str">
        <f ca="1">IFERROR(__xludf.DUMMYFUNCTION("""COMPUTED_VALUE"""),"IBS 541 (Emory)")</f>
        <v>IBS 541 (Emory)</v>
      </c>
      <c r="B16" s="9" t="str">
        <f ca="1">IFERROR(__xludf.DUMMYFUNCTION("""COMPUTED_VALUE"""),"Mol Biol and Evolutionary Genetics")</f>
        <v>Mol Biol and Evolutionary Genetics</v>
      </c>
      <c r="C16" s="9" t="str">
        <f ca="1">IFERROR(__xludf.DUMMYFUNCTION("""COMPUTED_VALUE"""),"Fall")</f>
        <v>Fall</v>
      </c>
      <c r="D16" s="9" t="str">
        <f ca="1">IFERROR(__xludf.DUMMYFUNCTION("""COMPUTED_VALUE"""),"Every other Year")</f>
        <v>Every other Year</v>
      </c>
      <c r="E16" s="9" t="str">
        <f ca="1">IFERROR(__xludf.DUMMYFUNCTION("""COMPUTED_VALUE"""),"Bioscience")</f>
        <v>Bioscience</v>
      </c>
      <c r="F16" s="9"/>
      <c r="G16" s="9"/>
    </row>
    <row r="17" spans="1:7">
      <c r="A17" s="9" t="str">
        <f ca="1">IFERROR(__xludf.DUMMYFUNCTION("""COMPUTED_VALUE"""),"IBS 542 (Emory)")</f>
        <v>IBS 542 (Emory)</v>
      </c>
      <c r="B17" s="9" t="str">
        <f ca="1">IFERROR(__xludf.DUMMYFUNCTION("""COMPUTED_VALUE"""),"Concepts of Immunology")</f>
        <v>Concepts of Immunology</v>
      </c>
      <c r="C17" s="9" t="str">
        <f ca="1">IFERROR(__xludf.DUMMYFUNCTION("""COMPUTED_VALUE"""),"Fall")</f>
        <v>Fall</v>
      </c>
      <c r="D17" s="9" t="str">
        <f ca="1">IFERROR(__xludf.DUMMYFUNCTION("""COMPUTED_VALUE"""),"Every Year")</f>
        <v>Every Year</v>
      </c>
      <c r="E17" s="9" t="str">
        <f ca="1">IFERROR(__xludf.DUMMYFUNCTION("""COMPUTED_VALUE"""),"Bioscience")</f>
        <v>Bioscience</v>
      </c>
      <c r="F17" s="9"/>
      <c r="G17" s="9"/>
    </row>
    <row r="18" spans="1:7">
      <c r="A18" s="9" t="str">
        <f ca="1">IFERROR(__xludf.DUMMYFUNCTION("""COMPUTED_VALUE"""),"IBS 555 (Emory)")</f>
        <v>IBS 555 (Emory)</v>
      </c>
      <c r="B18" s="9" t="str">
        <f ca="1">IFERROR(__xludf.DUMMYFUNCTION("""COMPUTED_VALUE"""),"Basic Biomedical and Biological Sciences")</f>
        <v>Basic Biomedical and Biological Sciences</v>
      </c>
      <c r="C18" s="9" t="str">
        <f ca="1">IFERROR(__xludf.DUMMYFUNCTION("""COMPUTED_VALUE"""),"Fall")</f>
        <v>Fall</v>
      </c>
      <c r="D18" s="9" t="str">
        <f ca="1">IFERROR(__xludf.DUMMYFUNCTION("""COMPUTED_VALUE"""),"Every Year")</f>
        <v>Every Year</v>
      </c>
      <c r="E18" s="9" t="str">
        <f ca="1">IFERROR(__xludf.DUMMYFUNCTION("""COMPUTED_VALUE"""),"Bioscience")</f>
        <v>Bioscience</v>
      </c>
      <c r="F18" s="9"/>
      <c r="G18" s="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45"/>
  <sheetViews>
    <sheetView workbookViewId="0">
      <pane ySplit="1" topLeftCell="A6" activePane="bottomLeft" state="frozen"/>
      <selection pane="bottomLeft" activeCell="B3" sqref="B3"/>
    </sheetView>
  </sheetViews>
  <sheetFormatPr defaultColWidth="14.42578125" defaultRowHeight="15.75" customHeight="1"/>
  <cols>
    <col min="1" max="1" width="18.28515625" customWidth="1"/>
    <col min="2" max="2" width="49.5703125" customWidth="1"/>
    <col min="5" max="5" width="16.85546875" customWidth="1"/>
    <col min="6" max="6" width="18.85546875" customWidth="1"/>
    <col min="7" max="7" width="16" customWidth="1"/>
  </cols>
  <sheetData>
    <row r="1" spans="1:26">
      <c r="A1" s="7" t="str">
        <f ca="1">IFERROR(__xludf.DUMMYFUNCTION("QUERY('All-Current'!A:G, ""select * where (E='Engineering' or F contains 'Engineering') order by F desc"", 1)"),"Course Number")</f>
        <v>Course Number</v>
      </c>
      <c r="B1" s="8" t="str">
        <f ca="1">IFERROR(__xludf.DUMMYFUNCTION("""COMPUTED_VALUE"""),"Course Name")</f>
        <v>Course Name</v>
      </c>
      <c r="C1" s="8" t="str">
        <f ca="1">IFERROR(__xludf.DUMMYFUNCTION("""COMPUTED_VALUE"""),"Term Offered")</f>
        <v>Term Offered</v>
      </c>
      <c r="D1" s="8" t="str">
        <f ca="1">IFERROR(__xludf.DUMMYFUNCTION("""COMPUTED_VALUE"""),"Frequency")</f>
        <v>Frequency</v>
      </c>
      <c r="E1" s="8" t="str">
        <f ca="1">IFERROR(__xludf.DUMMYFUNCTION("""COMPUTED_VALUE"""),"Category 1")</f>
        <v>Category 1</v>
      </c>
      <c r="F1" s="8" t="str">
        <f ca="1">IFERROR(__xludf.DUMMYFUNCTION("""COMPUTED_VALUE"""),"Category 2")</f>
        <v>Category 2</v>
      </c>
      <c r="G1" s="8" t="str">
        <f ca="1">IFERROR(__xludf.DUMMYFUNCTION("""COMPUTED_VALUE"""),"Cross-Listed As")</f>
        <v>Cross-Listed As</v>
      </c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1:26">
      <c r="A2" s="9" t="str">
        <f ca="1">IFERROR(__xludf.DUMMYFUNCTION("""COMPUTED_VALUE"""),"CS 7643")</f>
        <v>CS 7643</v>
      </c>
      <c r="B2" s="9" t="str">
        <f ca="1">IFERROR(__xludf.DUMMYFUNCTION("""COMPUTED_VALUE"""),"Deep learning")</f>
        <v>Deep learning</v>
      </c>
      <c r="C2" s="9" t="str">
        <f ca="1">IFERROR(__xludf.DUMMYFUNCTION("""COMPUTED_VALUE"""),"Varies")</f>
        <v>Varies</v>
      </c>
      <c r="D2" s="9" t="str">
        <f ca="1">IFERROR(__xludf.DUMMYFUNCTION("""COMPUTED_VALUE"""),"Varies")</f>
        <v>Varies</v>
      </c>
      <c r="E2" s="9" t="str">
        <f ca="1">IFERROR(__xludf.DUMMYFUNCTION("""COMPUTED_VALUE"""),"Data Science")</f>
        <v>Data Science</v>
      </c>
      <c r="F2" s="9" t="str">
        <f ca="1">IFERROR(__xludf.DUMMYFUNCTION("""COMPUTED_VALUE"""),"Engineering")</f>
        <v>Engineering</v>
      </c>
      <c r="G2" s="9"/>
    </row>
    <row r="3" spans="1:26">
      <c r="A3" s="9" t="str">
        <f ca="1">IFERROR(__xludf.DUMMYFUNCTION("""COMPUTED_VALUE"""),"CS/ISYE 6740")</f>
        <v>CS/ISYE 6740</v>
      </c>
      <c r="B3" s="9" t="str">
        <f ca="1">IFERROR(__xludf.DUMMYFUNCTION("""COMPUTED_VALUE"""),"Computational Data Analysis")</f>
        <v>Computational Data Analysis</v>
      </c>
      <c r="C3" s="9" t="str">
        <f ca="1">IFERROR(__xludf.DUMMYFUNCTION("""COMPUTED_VALUE"""),"Fall/Spring")</f>
        <v>Fall/Spring</v>
      </c>
      <c r="D3" s="9" t="str">
        <f ca="1">IFERROR(__xludf.DUMMYFUNCTION("""COMPUTED_VALUE"""),"Every Year")</f>
        <v>Every Year</v>
      </c>
      <c r="E3" s="9" t="str">
        <f ca="1">IFERROR(__xludf.DUMMYFUNCTION("""COMPUTED_VALUE"""),"Data Science")</f>
        <v>Data Science</v>
      </c>
      <c r="F3" s="9" t="str">
        <f ca="1">IFERROR(__xludf.DUMMYFUNCTION("""COMPUTED_VALUE"""),"Engineering")</f>
        <v>Engineering</v>
      </c>
      <c r="G3" s="9"/>
    </row>
    <row r="4" spans="1:26">
      <c r="A4" s="9" t="str">
        <f ca="1">IFERROR(__xludf.DUMMYFUNCTION("""COMPUTED_VALUE"""),"ECE 6254")</f>
        <v>ECE 6254</v>
      </c>
      <c r="B4" s="9" t="str">
        <f ca="1">IFERROR(__xludf.DUMMYFUNCTION("""COMPUTED_VALUE"""),"Stat ML")</f>
        <v>Stat ML</v>
      </c>
      <c r="C4" s="9" t="str">
        <f ca="1">IFERROR(__xludf.DUMMYFUNCTION("""COMPUTED_VALUE"""),"Spring")</f>
        <v>Spring</v>
      </c>
      <c r="D4" s="9" t="str">
        <f ca="1">IFERROR(__xludf.DUMMYFUNCTION("""COMPUTED_VALUE"""),"Every Year")</f>
        <v>Every Year</v>
      </c>
      <c r="E4" s="9" t="str">
        <f ca="1">IFERROR(__xludf.DUMMYFUNCTION("""COMPUTED_VALUE"""),"Data Science")</f>
        <v>Data Science</v>
      </c>
      <c r="F4" s="9" t="str">
        <f ca="1">IFERROR(__xludf.DUMMYFUNCTION("""COMPUTED_VALUE"""),"Engineering")</f>
        <v>Engineering</v>
      </c>
      <c r="G4" s="9" t="str">
        <f ca="1">IFERROR(__xludf.DUMMYFUNCTION("""COMPUTED_VALUE"""),"BMED 8813")</f>
        <v>BMED 8813</v>
      </c>
    </row>
    <row r="5" spans="1:26">
      <c r="A5" s="9" t="str">
        <f ca="1">IFERROR(__xludf.DUMMYFUNCTION("""COMPUTED_VALUE"""),"ECE 8823")</f>
        <v>ECE 8823</v>
      </c>
      <c r="B5" s="9" t="str">
        <f ca="1">IFERROR(__xludf.DUMMYFUNCTION("""COMPUTED_VALUE"""),"Convex optimization")</f>
        <v>Convex optimization</v>
      </c>
      <c r="C5" s="9" t="str">
        <f ca="1">IFERROR(__xludf.DUMMYFUNCTION("""COMPUTED_VALUE"""),"Varies")</f>
        <v>Varies</v>
      </c>
      <c r="D5" s="9" t="str">
        <f ca="1">IFERROR(__xludf.DUMMYFUNCTION("""COMPUTED_VALUE"""),"Varies")</f>
        <v>Varies</v>
      </c>
      <c r="E5" s="9" t="str">
        <f ca="1">IFERROR(__xludf.DUMMYFUNCTION("""COMPUTED_VALUE"""),"Data Science")</f>
        <v>Data Science</v>
      </c>
      <c r="F5" s="9" t="str">
        <f ca="1">IFERROR(__xludf.DUMMYFUNCTION("""COMPUTED_VALUE"""),"Engineering")</f>
        <v>Engineering</v>
      </c>
      <c r="G5" s="9"/>
    </row>
    <row r="6" spans="1:26">
      <c r="A6" s="9" t="str">
        <f ca="1">IFERROR(__xludf.DUMMYFUNCTION("""COMPUTED_VALUE"""),"ECE 8843/7750")</f>
        <v>ECE 8843/7750</v>
      </c>
      <c r="B6" s="9" t="str">
        <f ca="1">IFERROR(__xludf.DUMMYFUNCTION("""COMPUTED_VALUE"""),"Math Methods of ML")</f>
        <v>Math Methods of ML</v>
      </c>
      <c r="C6" s="9" t="str">
        <f ca="1">IFERROR(__xludf.DUMMYFUNCTION("""COMPUTED_VALUE"""),"Fall")</f>
        <v>Fall</v>
      </c>
      <c r="D6" s="9" t="str">
        <f ca="1">IFERROR(__xludf.DUMMYFUNCTION("""COMPUTED_VALUE"""),"Every Year")</f>
        <v>Every Year</v>
      </c>
      <c r="E6" s="9" t="str">
        <f ca="1">IFERROR(__xludf.DUMMYFUNCTION("""COMPUTED_VALUE"""),"Data Science")</f>
        <v>Data Science</v>
      </c>
      <c r="F6" s="9" t="str">
        <f ca="1">IFERROR(__xludf.DUMMYFUNCTION("""COMPUTED_VALUE"""),"Engineering")</f>
        <v>Engineering</v>
      </c>
      <c r="G6" s="9" t="str">
        <f ca="1">IFERROR(__xludf.DUMMYFUNCTION("""COMPUTED_VALUE"""),"BMED 8813")</f>
        <v>BMED 8813</v>
      </c>
    </row>
    <row r="7" spans="1:26">
      <c r="A7" s="9" t="str">
        <f ca="1">IFERROR(__xludf.DUMMYFUNCTION("""COMPUTED_VALUE"""),"ISYE 7406")</f>
        <v>ISYE 7406</v>
      </c>
      <c r="B7" s="9" t="str">
        <f ca="1">IFERROR(__xludf.DUMMYFUNCTION("""COMPUTED_VALUE"""),"Data Mining and Statistical Learning")</f>
        <v>Data Mining and Statistical Learning</v>
      </c>
      <c r="C7" s="9" t="str">
        <f ca="1">IFERROR(__xludf.DUMMYFUNCTION("""COMPUTED_VALUE"""),"Spring")</f>
        <v>Spring</v>
      </c>
      <c r="D7" s="9" t="str">
        <f ca="1">IFERROR(__xludf.DUMMYFUNCTION("""COMPUTED_VALUE"""),"Every Year")</f>
        <v>Every Year</v>
      </c>
      <c r="E7" s="9" t="str">
        <f ca="1">IFERROR(__xludf.DUMMYFUNCTION("""COMPUTED_VALUE"""),"Data Science")</f>
        <v>Data Science</v>
      </c>
      <c r="F7" s="9" t="str">
        <f ca="1">IFERROR(__xludf.DUMMYFUNCTION("""COMPUTED_VALUE"""),"Engineering")</f>
        <v>Engineering</v>
      </c>
      <c r="G7" s="9"/>
    </row>
    <row r="8" spans="1:26">
      <c r="A8" s="9" t="str">
        <f ca="1">IFERROR(__xludf.DUMMYFUNCTION("""COMPUTED_VALUE"""),"ECE 8803 / ISYE 8803 / CS 8803")</f>
        <v>ECE 8803 / ISYE 8803 / CS 8803</v>
      </c>
      <c r="B8" s="9" t="str">
        <f ca="1">IFERROR(__xludf.DUMMYFUNCTION("""COMPUTED_VALUE"""),"Probabilistic Graphical Models in Machine Learning")</f>
        <v>Probabilistic Graphical Models in Machine Learning</v>
      </c>
      <c r="C8" s="9" t="str">
        <f ca="1">IFERROR(__xludf.DUMMYFUNCTION("""COMPUTED_VALUE"""),"Spring")</f>
        <v>Spring</v>
      </c>
      <c r="D8" s="9" t="str">
        <f ca="1">IFERROR(__xludf.DUMMYFUNCTION("""COMPUTED_VALUE"""),"Every Year")</f>
        <v>Every Year</v>
      </c>
      <c r="E8" s="9" t="str">
        <f ca="1">IFERROR(__xludf.DUMMYFUNCTION("""COMPUTED_VALUE"""),"Engineering")</f>
        <v>Engineering</v>
      </c>
      <c r="F8" s="9" t="str">
        <f ca="1">IFERROR(__xludf.DUMMYFUNCTION("""COMPUTED_VALUE"""),"Data Science")</f>
        <v>Data Science</v>
      </c>
      <c r="G8" s="9"/>
    </row>
    <row r="9" spans="1:26">
      <c r="A9" s="9" t="str">
        <f ca="1">IFERROR(__xludf.DUMMYFUNCTION("""COMPUTED_VALUE"""),"AE 6009")</f>
        <v>AE 6009</v>
      </c>
      <c r="B9" s="9" t="str">
        <f ca="1">IFERROR(__xludf.DUMMYFUNCTION("""COMPUTED_VALUE"""),"Viscous fluid flow")</f>
        <v>Viscous fluid flow</v>
      </c>
      <c r="C9" s="9" t="str">
        <f ca="1">IFERROR(__xludf.DUMMYFUNCTION("""COMPUTED_VALUE"""),"Fall")</f>
        <v>Fall</v>
      </c>
      <c r="D9" s="9" t="str">
        <f ca="1">IFERROR(__xludf.DUMMYFUNCTION("""COMPUTED_VALUE"""),"Every Year")</f>
        <v>Every Year</v>
      </c>
      <c r="E9" s="9" t="str">
        <f ca="1">IFERROR(__xludf.DUMMYFUNCTION("""COMPUTED_VALUE"""),"Engineering")</f>
        <v>Engineering</v>
      </c>
      <c r="F9" s="9"/>
      <c r="G9" s="9"/>
    </row>
    <row r="10" spans="1:26">
      <c r="A10" s="9" t="str">
        <f ca="1">IFERROR(__xludf.DUMMYFUNCTION("""COMPUTED_VALUE"""),"AE 6511")</f>
        <v>AE 6511</v>
      </c>
      <c r="B10" s="9" t="str">
        <f ca="1">IFERROR(__xludf.DUMMYFUNCTION("""COMPUTED_VALUE"""),"Optimal Guidance and Control")</f>
        <v>Optimal Guidance and Control</v>
      </c>
      <c r="C10" s="9" t="str">
        <f ca="1">IFERROR(__xludf.DUMMYFUNCTION("""COMPUTED_VALUE"""),"Varies")</f>
        <v>Varies</v>
      </c>
      <c r="D10" s="9" t="str">
        <f ca="1">IFERROR(__xludf.DUMMYFUNCTION("""COMPUTED_VALUE"""),"Varies")</f>
        <v>Varies</v>
      </c>
      <c r="E10" s="9" t="str">
        <f ca="1">IFERROR(__xludf.DUMMYFUNCTION("""COMPUTED_VALUE"""),"Engineering")</f>
        <v>Engineering</v>
      </c>
      <c r="F10" s="9"/>
      <c r="G10" s="9"/>
    </row>
    <row r="11" spans="1:26">
      <c r="A11" s="9" t="str">
        <f ca="1">IFERROR(__xludf.DUMMYFUNCTION("""COMPUTED_VALUE"""),"BMED 6210")</f>
        <v>BMED 6210</v>
      </c>
      <c r="B11" s="9" t="str">
        <f ca="1">IFERROR(__xludf.DUMMYFUNCTION("""COMPUTED_VALUE"""),"MRI")</f>
        <v>MRI</v>
      </c>
      <c r="C11" s="9" t="str">
        <f ca="1">IFERROR(__xludf.DUMMYFUNCTION("""COMPUTED_VALUE"""),"Fall")</f>
        <v>Fall</v>
      </c>
      <c r="D11" s="9" t="str">
        <f ca="1">IFERROR(__xludf.DUMMYFUNCTION("""COMPUTED_VALUE"""),"Every other Year")</f>
        <v>Every other Year</v>
      </c>
      <c r="E11" s="9" t="str">
        <f ca="1">IFERROR(__xludf.DUMMYFUNCTION("""COMPUTED_VALUE"""),"Engineering")</f>
        <v>Engineering</v>
      </c>
      <c r="F11" s="9"/>
      <c r="G11" s="9"/>
    </row>
    <row r="12" spans="1:26">
      <c r="A12" s="9" t="str">
        <f ca="1">IFERROR(__xludf.DUMMYFUNCTION("""COMPUTED_VALUE"""),"BMED 6739")</f>
        <v>BMED 6739</v>
      </c>
      <c r="B12" s="9" t="str">
        <f ca="1">IFERROR(__xludf.DUMMYFUNCTION("""COMPUTED_VALUE"""),"Medical Robotics")</f>
        <v>Medical Robotics</v>
      </c>
      <c r="C12" s="9" t="str">
        <f ca="1">IFERROR(__xludf.DUMMYFUNCTION("""COMPUTED_VALUE"""),"Spring")</f>
        <v>Spring</v>
      </c>
      <c r="D12" s="9" t="str">
        <f ca="1">IFERROR(__xludf.DUMMYFUNCTION("""COMPUTED_VALUE"""),"Every Year")</f>
        <v>Every Year</v>
      </c>
      <c r="E12" s="9" t="str">
        <f ca="1">IFERROR(__xludf.DUMMYFUNCTION("""COMPUTED_VALUE"""),"Engineering")</f>
        <v>Engineering</v>
      </c>
      <c r="F12" s="9"/>
      <c r="G12" s="9"/>
    </row>
    <row r="13" spans="1:26">
      <c r="A13" s="9" t="str">
        <f ca="1">IFERROR(__xludf.DUMMYFUNCTION("""COMPUTED_VALUE"""),"BMED 6743")</f>
        <v>BMED 6743</v>
      </c>
      <c r="B13" s="9" t="str">
        <f ca="1">IFERROR(__xludf.DUMMYFUNCTION("""COMPUTED_VALUE"""),"Tissue Mechanics")</f>
        <v>Tissue Mechanics</v>
      </c>
      <c r="C13" s="9" t="str">
        <f ca="1">IFERROR(__xludf.DUMMYFUNCTION("""COMPUTED_VALUE"""),"Fall")</f>
        <v>Fall</v>
      </c>
      <c r="D13" s="9" t="str">
        <f ca="1">IFERROR(__xludf.DUMMYFUNCTION("""COMPUTED_VALUE"""),"Every other Year")</f>
        <v>Every other Year</v>
      </c>
      <c r="E13" s="9" t="str">
        <f ca="1">IFERROR(__xludf.DUMMYFUNCTION("""COMPUTED_VALUE"""),"Engineering")</f>
        <v>Engineering</v>
      </c>
      <c r="F13" s="9"/>
      <c r="G13" s="9"/>
    </row>
    <row r="14" spans="1:26">
      <c r="A14" s="9" t="str">
        <f ca="1">IFERROR(__xludf.DUMMYFUNCTION("""COMPUTED_VALUE"""),"BMED 6780")</f>
        <v>BMED 6780</v>
      </c>
      <c r="B14" s="9" t="str">
        <f ca="1">IFERROR(__xludf.DUMMYFUNCTION("""COMPUTED_VALUE"""),"Medical Image Processing")</f>
        <v>Medical Image Processing</v>
      </c>
      <c r="C14" s="9" t="str">
        <f ca="1">IFERROR(__xludf.DUMMYFUNCTION("""COMPUTED_VALUE"""),"Spring")</f>
        <v>Spring</v>
      </c>
      <c r="D14" s="9" t="str">
        <f ca="1">IFERROR(__xludf.DUMMYFUNCTION("""COMPUTED_VALUE"""),"Every other Year")</f>
        <v>Every other Year</v>
      </c>
      <c r="E14" s="9" t="str">
        <f ca="1">IFERROR(__xludf.DUMMYFUNCTION("""COMPUTED_VALUE"""),"Engineering")</f>
        <v>Engineering</v>
      </c>
      <c r="F14" s="9"/>
      <c r="G14" s="9"/>
    </row>
    <row r="15" spans="1:26">
      <c r="A15" s="9" t="str">
        <f ca="1">IFERROR(__xludf.DUMMYFUNCTION("""COMPUTED_VALUE"""),"BMED 6786")</f>
        <v>BMED 6786</v>
      </c>
      <c r="B15" s="9" t="str">
        <f ca="1">IFERROR(__xludf.DUMMYFUNCTION("""COMPUTED_VALUE"""),"Medical Imaging Systems")</f>
        <v>Medical Imaging Systems</v>
      </c>
      <c r="C15" s="9" t="str">
        <f ca="1">IFERROR(__xludf.DUMMYFUNCTION("""COMPUTED_VALUE"""),"Fall/Spring")</f>
        <v>Fall/Spring</v>
      </c>
      <c r="D15" s="9" t="str">
        <f ca="1">IFERROR(__xludf.DUMMYFUNCTION("""COMPUTED_VALUE"""),"Every Year")</f>
        <v>Every Year</v>
      </c>
      <c r="E15" s="9" t="str">
        <f ca="1">IFERROR(__xludf.DUMMYFUNCTION("""COMPUTED_VALUE"""),"Engineering")</f>
        <v>Engineering</v>
      </c>
      <c r="F15" s="9"/>
      <c r="G15" s="9"/>
    </row>
    <row r="16" spans="1:26">
      <c r="A16" s="9" t="str">
        <f ca="1">IFERROR(__xludf.DUMMYFUNCTION("""COMPUTED_VALUE"""),"BMED 8813")</f>
        <v>BMED 8813</v>
      </c>
      <c r="B16" s="9" t="str">
        <f ca="1">IFERROR(__xludf.DUMMYFUNCTION("""COMPUTED_VALUE"""),"Optical Microscopy")</f>
        <v>Optical Microscopy</v>
      </c>
      <c r="C16" s="9" t="str">
        <f ca="1">IFERROR(__xludf.DUMMYFUNCTION("""COMPUTED_VALUE"""),"Fall")</f>
        <v>Fall</v>
      </c>
      <c r="D16" s="9" t="str">
        <f ca="1">IFERROR(__xludf.DUMMYFUNCTION("""COMPUTED_VALUE"""),"Every Year")</f>
        <v>Every Year</v>
      </c>
      <c r="E16" s="9" t="str">
        <f ca="1">IFERROR(__xludf.DUMMYFUNCTION("""COMPUTED_VALUE"""),"Engineering")</f>
        <v>Engineering</v>
      </c>
      <c r="F16" s="9"/>
      <c r="G16" s="9"/>
    </row>
    <row r="17" spans="1:7">
      <c r="A17" s="9" t="str">
        <f ca="1">IFERROR(__xludf.DUMMYFUNCTION("""COMPUTED_VALUE"""),"BMED 8813")</f>
        <v>BMED 8813</v>
      </c>
      <c r="B17" s="9" t="str">
        <f ca="1">IFERROR(__xludf.DUMMYFUNCTION("""COMPUTED_VALUE"""),"Robotics")</f>
        <v>Robotics</v>
      </c>
      <c r="C17" s="9" t="str">
        <f ca="1">IFERROR(__xludf.DUMMYFUNCTION("""COMPUTED_VALUE"""),"Fall")</f>
        <v>Fall</v>
      </c>
      <c r="D17" s="9" t="str">
        <f ca="1">IFERROR(__xludf.DUMMYFUNCTION("""COMPUTED_VALUE"""),"Every other Year")</f>
        <v>Every other Year</v>
      </c>
      <c r="E17" s="9" t="str">
        <f ca="1">IFERROR(__xludf.DUMMYFUNCTION("""COMPUTED_VALUE"""),"Engineering")</f>
        <v>Engineering</v>
      </c>
      <c r="F17" s="9"/>
      <c r="G17" s="9"/>
    </row>
    <row r="18" spans="1:7">
      <c r="A18" s="9" t="str">
        <f ca="1">IFERROR(__xludf.DUMMYFUNCTION("""COMPUTED_VALUE"""),"BMED/ChBE 6779")</f>
        <v>BMED/ChBE 6779</v>
      </c>
      <c r="B18" s="9" t="str">
        <f ca="1">IFERROR(__xludf.DUMMYFUNCTION("""COMPUTED_VALUE"""),"Bioprocess Engineering")</f>
        <v>Bioprocess Engineering</v>
      </c>
      <c r="C18" s="9" t="str">
        <f ca="1">IFERROR(__xludf.DUMMYFUNCTION("""COMPUTED_VALUE"""),"Spring")</f>
        <v>Spring</v>
      </c>
      <c r="D18" s="9" t="str">
        <f ca="1">IFERROR(__xludf.DUMMYFUNCTION("""COMPUTED_VALUE"""),"Every Year")</f>
        <v>Every Year</v>
      </c>
      <c r="E18" s="9" t="str">
        <f ca="1">IFERROR(__xludf.DUMMYFUNCTION("""COMPUTED_VALUE"""),"Engineering")</f>
        <v>Engineering</v>
      </c>
      <c r="F18" s="9"/>
      <c r="G18" s="9"/>
    </row>
    <row r="19" spans="1:7">
      <c r="A19" s="9" t="str">
        <f ca="1">IFERROR(__xludf.DUMMYFUNCTION("""COMPUTED_VALUE"""),"BMED/ME 6720")</f>
        <v>BMED/ME 6720</v>
      </c>
      <c r="B19" s="9" t="str">
        <f ca="1">IFERROR(__xludf.DUMMYFUNCTION("""COMPUTED_VALUE"""),"Biotransport")</f>
        <v>Biotransport</v>
      </c>
      <c r="C19" s="9" t="str">
        <f ca="1">IFERROR(__xludf.DUMMYFUNCTION("""COMPUTED_VALUE"""),"Spring")</f>
        <v>Spring</v>
      </c>
      <c r="D19" s="9" t="str">
        <f ca="1">IFERROR(__xludf.DUMMYFUNCTION("""COMPUTED_VALUE"""),"Every Year")</f>
        <v>Every Year</v>
      </c>
      <c r="E19" s="9" t="str">
        <f ca="1">IFERROR(__xludf.DUMMYFUNCTION("""COMPUTED_VALUE"""),"Engineering")</f>
        <v>Engineering</v>
      </c>
      <c r="F19" s="9"/>
      <c r="G19" s="9"/>
    </row>
    <row r="20" spans="1:7">
      <c r="A20" s="9" t="str">
        <f ca="1">IFERROR(__xludf.DUMMYFUNCTION("""COMPUTED_VALUE"""),"CHBE 6260")</f>
        <v>CHBE 6260</v>
      </c>
      <c r="B20" s="9" t="str">
        <f ca="1">IFERROR(__xludf.DUMMYFUNCTION("""COMPUTED_VALUE"""),"Advanced mass transfer")</f>
        <v>Advanced mass transfer</v>
      </c>
      <c r="C20" s="9" t="str">
        <f ca="1">IFERROR(__xludf.DUMMYFUNCTION("""COMPUTED_VALUE"""),"Spring")</f>
        <v>Spring</v>
      </c>
      <c r="D20" s="9" t="str">
        <f ca="1">IFERROR(__xludf.DUMMYFUNCTION("""COMPUTED_VALUE"""),"Every Year")</f>
        <v>Every Year</v>
      </c>
      <c r="E20" s="9" t="str">
        <f ca="1">IFERROR(__xludf.DUMMYFUNCTION("""COMPUTED_VALUE"""),"Engineering")</f>
        <v>Engineering</v>
      </c>
      <c r="F20" s="9"/>
      <c r="G20" s="9"/>
    </row>
    <row r="21" spans="1:7">
      <c r="A21" s="9" t="str">
        <f ca="1">IFERROR(__xludf.DUMMYFUNCTION("""COMPUTED_VALUE"""),"CHBE 6500")</f>
        <v>CHBE 6500</v>
      </c>
      <c r="B21" s="9" t="str">
        <f ca="1">IFERROR(__xludf.DUMMYFUNCTION("""COMPUTED_VALUE"""),"Mathematical modeling of chemical processes")</f>
        <v>Mathematical modeling of chemical processes</v>
      </c>
      <c r="C21" s="9" t="str">
        <f ca="1">IFERROR(__xludf.DUMMYFUNCTION("""COMPUTED_VALUE"""),"Fall")</f>
        <v>Fall</v>
      </c>
      <c r="D21" s="9" t="str">
        <f ca="1">IFERROR(__xludf.DUMMYFUNCTION("""COMPUTED_VALUE"""),"Every Year")</f>
        <v>Every Year</v>
      </c>
      <c r="E21" s="9" t="str">
        <f ca="1">IFERROR(__xludf.DUMMYFUNCTION("""COMPUTED_VALUE"""),"Engineering")</f>
        <v>Engineering</v>
      </c>
      <c r="F21" s="9"/>
      <c r="G21" s="9"/>
    </row>
    <row r="22" spans="1:7">
      <c r="A22" s="9" t="str">
        <f ca="1">IFERROR(__xludf.DUMMYFUNCTION("""COMPUTED_VALUE"""),"CHBE 6710")</f>
        <v>CHBE 6710</v>
      </c>
      <c r="B22" s="9" t="str">
        <f ca="1">IFERROR(__xludf.DUMMYFUNCTION("""COMPUTED_VALUE"""),"Microfluidics")</f>
        <v>Microfluidics</v>
      </c>
      <c r="C22" s="9" t="str">
        <f ca="1">IFERROR(__xludf.DUMMYFUNCTION("""COMPUTED_VALUE"""),"Fall")</f>
        <v>Fall</v>
      </c>
      <c r="D22" s="9" t="str">
        <f ca="1">IFERROR(__xludf.DUMMYFUNCTION("""COMPUTED_VALUE"""),"Every Year")</f>
        <v>Every Year</v>
      </c>
      <c r="E22" s="9" t="str">
        <f ca="1">IFERROR(__xludf.DUMMYFUNCTION("""COMPUTED_VALUE"""),"Engineering")</f>
        <v>Engineering</v>
      </c>
      <c r="F22" s="9"/>
      <c r="G22" s="9"/>
    </row>
    <row r="23" spans="1:7">
      <c r="A23" s="9" t="str">
        <f ca="1">IFERROR(__xludf.DUMMYFUNCTION("""COMPUTED_VALUE"""),"CS 534 (Emory)")</f>
        <v>CS 534 (Emory)</v>
      </c>
      <c r="B23" s="9" t="str">
        <f ca="1">IFERROR(__xludf.DUMMYFUNCTION("""COMPUTED_VALUE"""),"Machine Learning")</f>
        <v>Machine Learning</v>
      </c>
      <c r="C23" s="9" t="str">
        <f ca="1">IFERROR(__xludf.DUMMYFUNCTION("""COMPUTED_VALUE"""),"Spring")</f>
        <v>Spring</v>
      </c>
      <c r="D23" s="9" t="str">
        <f ca="1">IFERROR(__xludf.DUMMYFUNCTION("""COMPUTED_VALUE"""),"Varies")</f>
        <v>Varies</v>
      </c>
      <c r="E23" s="9" t="str">
        <f ca="1">IFERROR(__xludf.DUMMYFUNCTION("""COMPUTED_VALUE"""),"Engineering")</f>
        <v>Engineering</v>
      </c>
      <c r="F23" s="9"/>
      <c r="G23" s="9"/>
    </row>
    <row r="24" spans="1:7">
      <c r="A24" s="9" t="str">
        <f ca="1">IFERROR(__xludf.DUMMYFUNCTION("""COMPUTED_VALUE"""),"CS 7641")</f>
        <v>CS 7641</v>
      </c>
      <c r="B24" s="9" t="str">
        <f ca="1">IFERROR(__xludf.DUMMYFUNCTION("""COMPUTED_VALUE"""),"Machine Learning")</f>
        <v>Machine Learning</v>
      </c>
      <c r="C24" s="9" t="str">
        <f ca="1">IFERROR(__xludf.DUMMYFUNCTION("""COMPUTED_VALUE"""),"Fall/Spring")</f>
        <v>Fall/Spring</v>
      </c>
      <c r="D24" s="9" t="str">
        <f ca="1">IFERROR(__xludf.DUMMYFUNCTION("""COMPUTED_VALUE"""),"Every Year")</f>
        <v>Every Year</v>
      </c>
      <c r="E24" s="9" t="str">
        <f ca="1">IFERROR(__xludf.DUMMYFUNCTION("""COMPUTED_VALUE"""),"Engineering")</f>
        <v>Engineering</v>
      </c>
      <c r="F24" s="9"/>
      <c r="G24" s="9"/>
    </row>
    <row r="25" spans="1:7">
      <c r="A25" s="9" t="str">
        <f ca="1">IFERROR(__xludf.DUMMYFUNCTION("""COMPUTED_VALUE"""),"CS 7650")</f>
        <v>CS 7650</v>
      </c>
      <c r="B25" s="9" t="str">
        <f ca="1">IFERROR(__xludf.DUMMYFUNCTION("""COMPUTED_VALUE"""),"Natural Learning")</f>
        <v>Natural Learning</v>
      </c>
      <c r="C25" s="9" t="str">
        <f ca="1">IFERROR(__xludf.DUMMYFUNCTION("""COMPUTED_VALUE"""),"Spring")</f>
        <v>Spring</v>
      </c>
      <c r="D25" s="9" t="str">
        <f ca="1">IFERROR(__xludf.DUMMYFUNCTION("""COMPUTED_VALUE"""),"Every Year")</f>
        <v>Every Year</v>
      </c>
      <c r="E25" s="9" t="str">
        <f ca="1">IFERROR(__xludf.DUMMYFUNCTION("""COMPUTED_VALUE"""),"Engineering")</f>
        <v>Engineering</v>
      </c>
      <c r="F25" s="9"/>
      <c r="G25" s="9"/>
    </row>
    <row r="26" spans="1:7">
      <c r="A26" s="9" t="str">
        <f ca="1">IFERROR(__xludf.DUMMYFUNCTION("""COMPUTED_VALUE"""),"CS/ECE 6730")</f>
        <v>CS/ECE 6730</v>
      </c>
      <c r="B26" s="9" t="str">
        <f ca="1">IFERROR(__xludf.DUMMYFUNCTION("""COMPUTED_VALUE"""),"Modeling &amp; Simulation: Fundamentals and Implementation")</f>
        <v>Modeling &amp; Simulation: Fundamentals and Implementation</v>
      </c>
      <c r="C26" s="9" t="str">
        <f ca="1">IFERROR(__xludf.DUMMYFUNCTION("""COMPUTED_VALUE"""),"Varies")</f>
        <v>Varies</v>
      </c>
      <c r="D26" s="9" t="str">
        <f ca="1">IFERROR(__xludf.DUMMYFUNCTION("""COMPUTED_VALUE"""),"Varies")</f>
        <v>Varies</v>
      </c>
      <c r="E26" s="9" t="str">
        <f ca="1">IFERROR(__xludf.DUMMYFUNCTION("""COMPUTED_VALUE"""),"Engineering")</f>
        <v>Engineering</v>
      </c>
      <c r="F26" s="9"/>
      <c r="G26" s="9"/>
    </row>
    <row r="27" spans="1:7">
      <c r="A27" s="9" t="str">
        <f ca="1">IFERROR(__xludf.DUMMYFUNCTION("""COMPUTED_VALUE"""),"CS7545")</f>
        <v>CS7545</v>
      </c>
      <c r="B27" s="9" t="str">
        <f ca="1">IFERROR(__xludf.DUMMYFUNCTION("""COMPUTED_VALUE"""),"Machine Learning Theory")</f>
        <v>Machine Learning Theory</v>
      </c>
      <c r="C27" s="9" t="str">
        <f ca="1">IFERROR(__xludf.DUMMYFUNCTION("""COMPUTED_VALUE"""),"Fall")</f>
        <v>Fall</v>
      </c>
      <c r="D27" s="9" t="str">
        <f ca="1">IFERROR(__xludf.DUMMYFUNCTION("""COMPUTED_VALUE"""),"Every Year")</f>
        <v>Every Year</v>
      </c>
      <c r="E27" s="9" t="str">
        <f ca="1">IFERROR(__xludf.DUMMYFUNCTION("""COMPUTED_VALUE"""),"Engineering")</f>
        <v>Engineering</v>
      </c>
      <c r="F27" s="9"/>
      <c r="G27" s="9"/>
    </row>
    <row r="28" spans="1:7">
      <c r="A28" s="9" t="str">
        <f ca="1">IFERROR(__xludf.DUMMYFUNCTION("""COMPUTED_VALUE"""),"CSE 6140")</f>
        <v>CSE 6140</v>
      </c>
      <c r="B28" s="9" t="str">
        <f ca="1">IFERROR(__xludf.DUMMYFUNCTION("""COMPUTED_VALUE"""),"Computational Science and Engineering Algorithms")</f>
        <v>Computational Science and Engineering Algorithms</v>
      </c>
      <c r="C28" s="9" t="str">
        <f ca="1">IFERROR(__xludf.DUMMYFUNCTION("""COMPUTED_VALUE"""),"Fall")</f>
        <v>Fall</v>
      </c>
      <c r="D28" s="9" t="str">
        <f ca="1">IFERROR(__xludf.DUMMYFUNCTION("""COMPUTED_VALUE"""),"Every Year")</f>
        <v>Every Year</v>
      </c>
      <c r="E28" s="9" t="str">
        <f ca="1">IFERROR(__xludf.DUMMYFUNCTION("""COMPUTED_VALUE"""),"Engineering")</f>
        <v>Engineering</v>
      </c>
      <c r="F28" s="9"/>
      <c r="G28" s="9"/>
    </row>
    <row r="29" spans="1:7">
      <c r="A29" s="9" t="str">
        <f ca="1">IFERROR(__xludf.DUMMYFUNCTION("""COMPUTED_VALUE"""),"CSE 8803")</f>
        <v>CSE 8803</v>
      </c>
      <c r="B29" s="9" t="str">
        <f ca="1">IFERROR(__xludf.DUMMYFUNCTION("""COMPUTED_VALUE"""),"Deep Learning for Text Data")</f>
        <v>Deep Learning for Text Data</v>
      </c>
      <c r="C29" s="9" t="str">
        <f ca="1">IFERROR(__xludf.DUMMYFUNCTION("""COMPUTED_VALUE"""),"Fall")</f>
        <v>Fall</v>
      </c>
      <c r="D29" s="9" t="str">
        <f ca="1">IFERROR(__xludf.DUMMYFUNCTION("""COMPUTED_VALUE"""),"Varies")</f>
        <v>Varies</v>
      </c>
      <c r="E29" s="9" t="str">
        <f ca="1">IFERROR(__xludf.DUMMYFUNCTION("""COMPUTED_VALUE"""),"Engineering")</f>
        <v>Engineering</v>
      </c>
      <c r="F29" s="9"/>
      <c r="G29" s="9"/>
    </row>
    <row r="30" spans="1:7">
      <c r="A30" s="9" t="str">
        <f ca="1">IFERROR(__xludf.DUMMYFUNCTION("""COMPUTED_VALUE"""),"ECE 6510")</f>
        <v>ECE 6510</v>
      </c>
      <c r="B30" s="9" t="str">
        <f ca="1">IFERROR(__xludf.DUMMYFUNCTION("""COMPUTED_VALUE"""),"Electro-optics")</f>
        <v>Electro-optics</v>
      </c>
      <c r="C30" s="9" t="str">
        <f ca="1">IFERROR(__xludf.DUMMYFUNCTION("""COMPUTED_VALUE"""),"Fall")</f>
        <v>Fall</v>
      </c>
      <c r="D30" s="9" t="str">
        <f ca="1">IFERROR(__xludf.DUMMYFUNCTION("""COMPUTED_VALUE"""),"Every Year")</f>
        <v>Every Year</v>
      </c>
      <c r="E30" s="9" t="str">
        <f ca="1">IFERROR(__xludf.DUMMYFUNCTION("""COMPUTED_VALUE"""),"Engineering")</f>
        <v>Engineering</v>
      </c>
      <c r="F30" s="9"/>
      <c r="G30" s="9"/>
    </row>
    <row r="31" spans="1:7">
      <c r="A31" s="9" t="str">
        <f ca="1">IFERROR(__xludf.DUMMYFUNCTION("""COMPUTED_VALUE"""),"ECE 6550")</f>
        <v>ECE 6550</v>
      </c>
      <c r="B31" s="9" t="str">
        <f ca="1">IFERROR(__xludf.DUMMYFUNCTION("""COMPUTED_VALUE"""),"Linear Sys and Controls")</f>
        <v>Linear Sys and Controls</v>
      </c>
      <c r="C31" s="9" t="str">
        <f ca="1">IFERROR(__xludf.DUMMYFUNCTION("""COMPUTED_VALUE"""),"Fall")</f>
        <v>Fall</v>
      </c>
      <c r="D31" s="9" t="str">
        <f ca="1">IFERROR(__xludf.DUMMYFUNCTION("""COMPUTED_VALUE"""),"Every Year")</f>
        <v>Every Year</v>
      </c>
      <c r="E31" s="9" t="str">
        <f ca="1">IFERROR(__xludf.DUMMYFUNCTION("""COMPUTED_VALUE"""),"Engineering")</f>
        <v>Engineering</v>
      </c>
      <c r="F31" s="9"/>
      <c r="G31" s="9"/>
    </row>
    <row r="32" spans="1:7">
      <c r="A32" s="9" t="str">
        <f ca="1">IFERROR(__xludf.DUMMYFUNCTION("""COMPUTED_VALUE"""),"ECE 6553")</f>
        <v>ECE 6553</v>
      </c>
      <c r="B32" s="9" t="str">
        <f ca="1">IFERROR(__xludf.DUMMYFUNCTION("""COMPUTED_VALUE"""),"Optimal Control")</f>
        <v>Optimal Control</v>
      </c>
      <c r="C32" s="9" t="str">
        <f ca="1">IFERROR(__xludf.DUMMYFUNCTION("""COMPUTED_VALUE"""),"Spring")</f>
        <v>Spring</v>
      </c>
      <c r="D32" s="9" t="str">
        <f ca="1">IFERROR(__xludf.DUMMYFUNCTION("""COMPUTED_VALUE"""),"Every Year")</f>
        <v>Every Year</v>
      </c>
      <c r="E32" s="9" t="str">
        <f ca="1">IFERROR(__xludf.DUMMYFUNCTION("""COMPUTED_VALUE"""),"Engineering")</f>
        <v>Engineering</v>
      </c>
      <c r="F32" s="9"/>
      <c r="G32" s="9"/>
    </row>
    <row r="33" spans="1:7">
      <c r="A33" s="9" t="str">
        <f ca="1">IFERROR(__xludf.DUMMYFUNCTION("""COMPUTED_VALUE"""),"ECE 7251")</f>
        <v>ECE 7251</v>
      </c>
      <c r="B33" s="9" t="str">
        <f ca="1">IFERROR(__xludf.DUMMYFUNCTION("""COMPUTED_VALUE"""),"Signal Detection and Estimation")</f>
        <v>Signal Detection and Estimation</v>
      </c>
      <c r="C33" s="9" t="str">
        <f ca="1">IFERROR(__xludf.DUMMYFUNCTION("""COMPUTED_VALUE"""),"Spring")</f>
        <v>Spring</v>
      </c>
      <c r="D33" s="9" t="str">
        <f ca="1">IFERROR(__xludf.DUMMYFUNCTION("""COMPUTED_VALUE"""),"Every Year")</f>
        <v>Every Year</v>
      </c>
      <c r="E33" s="9" t="str">
        <f ca="1">IFERROR(__xludf.DUMMYFUNCTION("""COMPUTED_VALUE"""),"Engineering")</f>
        <v>Engineering</v>
      </c>
      <c r="F33" s="9"/>
      <c r="G33" s="9"/>
    </row>
    <row r="34" spans="1:7">
      <c r="A34" s="9" t="str">
        <f ca="1">IFERROR(__xludf.DUMMYFUNCTION("""COMPUTED_VALUE"""),"ME 4342")</f>
        <v>ME 4342</v>
      </c>
      <c r="B34" s="9" t="str">
        <f ca="1">IFERROR(__xludf.DUMMYFUNCTION("""COMPUTED_VALUE"""),"Computational Fluid Dynamics")</f>
        <v>Computational Fluid Dynamics</v>
      </c>
      <c r="C34" s="9" t="str">
        <f ca="1">IFERROR(__xludf.DUMMYFUNCTION("""COMPUTED_VALUE"""),"Spring")</f>
        <v>Spring</v>
      </c>
      <c r="D34" s="9" t="str">
        <f ca="1">IFERROR(__xludf.DUMMYFUNCTION("""COMPUTED_VALUE"""),"Varies")</f>
        <v>Varies</v>
      </c>
      <c r="E34" s="9" t="str">
        <f ca="1">IFERROR(__xludf.DUMMYFUNCTION("""COMPUTED_VALUE"""),"Engineering")</f>
        <v>Engineering</v>
      </c>
      <c r="F34" s="9"/>
      <c r="G34" s="9"/>
    </row>
    <row r="35" spans="1:7">
      <c r="A35" s="9" t="str">
        <f ca="1">IFERROR(__xludf.DUMMYFUNCTION("""COMPUTED_VALUE"""),"ME 6201")</f>
        <v>ME 6201</v>
      </c>
      <c r="B35" s="9" t="str">
        <f ca="1">IFERROR(__xludf.DUMMYFUNCTION("""COMPUTED_VALUE"""),"Principles of continuum mechanics")</f>
        <v>Principles of continuum mechanics</v>
      </c>
      <c r="C35" s="9" t="str">
        <f ca="1">IFERROR(__xludf.DUMMYFUNCTION("""COMPUTED_VALUE"""),"Fall")</f>
        <v>Fall</v>
      </c>
      <c r="D35" s="9" t="str">
        <f ca="1">IFERROR(__xludf.DUMMYFUNCTION("""COMPUTED_VALUE"""),"Every Year")</f>
        <v>Every Year</v>
      </c>
      <c r="E35" s="9" t="str">
        <f ca="1">IFERROR(__xludf.DUMMYFUNCTION("""COMPUTED_VALUE"""),"Engineering")</f>
        <v>Engineering</v>
      </c>
      <c r="F35" s="9"/>
      <c r="G35" s="9"/>
    </row>
    <row r="36" spans="1:7">
      <c r="A36" s="9" t="str">
        <f ca="1">IFERROR(__xludf.DUMMYFUNCTION("""COMPUTED_VALUE"""),"ME 6401")</f>
        <v>ME 6401</v>
      </c>
      <c r="B36" s="9" t="str">
        <f ca="1">IFERROR(__xludf.DUMMYFUNCTION("""COMPUTED_VALUE"""),"Linear Control System")</f>
        <v>Linear Control System</v>
      </c>
      <c r="C36" s="9" t="str">
        <f ca="1">IFERROR(__xludf.DUMMYFUNCTION("""COMPUTED_VALUE"""),"Fall")</f>
        <v>Fall</v>
      </c>
      <c r="D36" s="9" t="str">
        <f ca="1">IFERROR(__xludf.DUMMYFUNCTION("""COMPUTED_VALUE"""),"Every Year")</f>
        <v>Every Year</v>
      </c>
      <c r="E36" s="9" t="str">
        <f ca="1">IFERROR(__xludf.DUMMYFUNCTION("""COMPUTED_VALUE"""),"Engineering")</f>
        <v>Engineering</v>
      </c>
      <c r="F36" s="9"/>
      <c r="G36" s="9"/>
    </row>
    <row r="37" spans="1:7">
      <c r="A37" s="9" t="str">
        <f ca="1">IFERROR(__xludf.DUMMYFUNCTION("""COMPUTED_VALUE"""),"ME 6441")</f>
        <v>ME 6441</v>
      </c>
      <c r="B37" s="9" t="str">
        <f ca="1">IFERROR(__xludf.DUMMYFUNCTION("""COMPUTED_VALUE"""),"Dynamics-Mechanical Sys")</f>
        <v>Dynamics-Mechanical Sys</v>
      </c>
      <c r="C37" s="9" t="str">
        <f ca="1">IFERROR(__xludf.DUMMYFUNCTION("""COMPUTED_VALUE"""),"Fall")</f>
        <v>Fall</v>
      </c>
      <c r="D37" s="9" t="str">
        <f ca="1">IFERROR(__xludf.DUMMYFUNCTION("""COMPUTED_VALUE"""),"Every Year")</f>
        <v>Every Year</v>
      </c>
      <c r="E37" s="9" t="str">
        <f ca="1">IFERROR(__xludf.DUMMYFUNCTION("""COMPUTED_VALUE"""),"Engineering")</f>
        <v>Engineering</v>
      </c>
      <c r="F37" s="9"/>
      <c r="G37" s="9"/>
    </row>
    <row r="38" spans="1:7">
      <c r="A38" s="9" t="str">
        <f ca="1">IFERROR(__xludf.DUMMYFUNCTION("""COMPUTED_VALUE"""),"ME 6449")</f>
        <v>ME 6449</v>
      </c>
      <c r="B38" s="9" t="str">
        <f ca="1">IFERROR(__xludf.DUMMYFUNCTION("""COMPUTED_VALUE"""),"Acoustic Transducers &amp; Signal Analysis")</f>
        <v>Acoustic Transducers &amp; Signal Analysis</v>
      </c>
      <c r="C38" s="9" t="str">
        <f ca="1">IFERROR(__xludf.DUMMYFUNCTION("""COMPUTED_VALUE"""),"Fall")</f>
        <v>Fall</v>
      </c>
      <c r="D38" s="9" t="str">
        <f ca="1">IFERROR(__xludf.DUMMYFUNCTION("""COMPUTED_VALUE"""),"Every Year")</f>
        <v>Every Year</v>
      </c>
      <c r="E38" s="9" t="str">
        <f ca="1">IFERROR(__xludf.DUMMYFUNCTION("""COMPUTED_VALUE"""),"Engineering")</f>
        <v>Engineering</v>
      </c>
      <c r="F38" s="9"/>
      <c r="G38" s="9"/>
    </row>
    <row r="39" spans="1:7">
      <c r="A39" s="9" t="str">
        <f ca="1">IFERROR(__xludf.DUMMYFUNCTION("""COMPUTED_VALUE"""),"ME 6460")</f>
        <v>ME 6460</v>
      </c>
      <c r="B39" s="9" t="str">
        <f ca="1">IFERROR(__xludf.DUMMYFUNCTION("""COMPUTED_VALUE"""),"MEMS Devices")</f>
        <v>MEMS Devices</v>
      </c>
      <c r="C39" s="9" t="str">
        <f ca="1">IFERROR(__xludf.DUMMYFUNCTION("""COMPUTED_VALUE"""),"Spring")</f>
        <v>Spring</v>
      </c>
      <c r="D39" s="9" t="str">
        <f ca="1">IFERROR(__xludf.DUMMYFUNCTION("""COMPUTED_VALUE"""),"Varies")</f>
        <v>Varies</v>
      </c>
      <c r="E39" s="9" t="str">
        <f ca="1">IFERROR(__xludf.DUMMYFUNCTION("""COMPUTED_VALUE"""),"Engineering")</f>
        <v>Engineering</v>
      </c>
      <c r="F39" s="9"/>
      <c r="G39" s="9"/>
    </row>
    <row r="40" spans="1:7">
      <c r="A40" s="9" t="str">
        <f ca="1">IFERROR(__xludf.DUMMYFUNCTION("""COMPUTED_VALUE"""),"ME 6601")</f>
        <v>ME 6601</v>
      </c>
      <c r="B40" s="9" t="str">
        <f ca="1">IFERROR(__xludf.DUMMYFUNCTION("""COMPUTED_VALUE"""),"Fluid Mechanics")</f>
        <v>Fluid Mechanics</v>
      </c>
      <c r="C40" s="9" t="str">
        <f ca="1">IFERROR(__xludf.DUMMYFUNCTION("""COMPUTED_VALUE"""),"Fall")</f>
        <v>Fall</v>
      </c>
      <c r="D40" s="9" t="str">
        <f ca="1">IFERROR(__xludf.DUMMYFUNCTION("""COMPUTED_VALUE"""),"Every Year")</f>
        <v>Every Year</v>
      </c>
      <c r="E40" s="9" t="str">
        <f ca="1">IFERROR(__xludf.DUMMYFUNCTION("""COMPUTED_VALUE"""),"Engineering")</f>
        <v>Engineering</v>
      </c>
      <c r="F40" s="9"/>
      <c r="G40" s="9"/>
    </row>
    <row r="41" spans="1:7">
      <c r="A41" s="9" t="str">
        <f ca="1">IFERROR(__xludf.DUMMYFUNCTION("""COMPUTED_VALUE"""),"ME6124")</f>
        <v>ME6124</v>
      </c>
      <c r="B41" s="9" t="str">
        <f ca="1">IFERROR(__xludf.DUMMYFUNCTION("""COMPUTED_VALUE"""),"Finite element method")</f>
        <v>Finite element method</v>
      </c>
      <c r="C41" s="9" t="str">
        <f ca="1">IFERROR(__xludf.DUMMYFUNCTION("""COMPUTED_VALUE"""),"Fall/Spring")</f>
        <v>Fall/Spring</v>
      </c>
      <c r="D41" s="9" t="str">
        <f ca="1">IFERROR(__xludf.DUMMYFUNCTION("""COMPUTED_VALUE"""),"Every Year")</f>
        <v>Every Year</v>
      </c>
      <c r="E41" s="9" t="str">
        <f ca="1">IFERROR(__xludf.DUMMYFUNCTION("""COMPUTED_VALUE"""),"Engineering")</f>
        <v>Engineering</v>
      </c>
      <c r="F41" s="9"/>
      <c r="G41" s="9"/>
    </row>
    <row r="42" spans="1:7">
      <c r="A42" s="9" t="str">
        <f ca="1">IFERROR(__xludf.DUMMYFUNCTION("""COMPUTED_VALUE"""),"MP 6101")</f>
        <v>MP 6101</v>
      </c>
      <c r="B42" s="9" t="str">
        <f ca="1">IFERROR(__xludf.DUMMYFUNCTION("""COMPUTED_VALUE"""),"Medical Imaging Physics")</f>
        <v>Medical Imaging Physics</v>
      </c>
      <c r="C42" s="9" t="str">
        <f ca="1">IFERROR(__xludf.DUMMYFUNCTION("""COMPUTED_VALUE"""),"Fall")</f>
        <v>Fall</v>
      </c>
      <c r="D42" s="9" t="str">
        <f ca="1">IFERROR(__xludf.DUMMYFUNCTION("""COMPUTED_VALUE"""),"Every Year")</f>
        <v>Every Year</v>
      </c>
      <c r="E42" s="9" t="str">
        <f ca="1">IFERROR(__xludf.DUMMYFUNCTION("""COMPUTED_VALUE"""),"Engineering")</f>
        <v>Engineering</v>
      </c>
      <c r="F42" s="9"/>
      <c r="G42" s="9"/>
    </row>
    <row r="43" spans="1:7">
      <c r="A43" s="9" t="str">
        <f ca="1">IFERROR(__xludf.DUMMYFUNCTION("""COMPUTED_VALUE"""),"MSE 6405")</f>
        <v>MSE 6405</v>
      </c>
      <c r="B43" s="9" t="str">
        <f ca="1">IFERROR(__xludf.DUMMYFUNCTION("""COMPUTED_VALUE"""),"Advanced Nanomaterials")</f>
        <v>Advanced Nanomaterials</v>
      </c>
      <c r="C43" s="9" t="str">
        <f ca="1">IFERROR(__xludf.DUMMYFUNCTION("""COMPUTED_VALUE"""),"Fall")</f>
        <v>Fall</v>
      </c>
      <c r="D43" s="9" t="str">
        <f ca="1">IFERROR(__xludf.DUMMYFUNCTION("""COMPUTED_VALUE"""),"Every Year")</f>
        <v>Every Year</v>
      </c>
      <c r="E43" s="9" t="str">
        <f ca="1">IFERROR(__xludf.DUMMYFUNCTION("""COMPUTED_VALUE"""),"Engineering")</f>
        <v>Engineering</v>
      </c>
      <c r="F43" s="9"/>
      <c r="G43" s="9"/>
    </row>
    <row r="44" spans="1:7">
      <c r="A44" s="9" t="str">
        <f ca="1">IFERROR(__xludf.DUMMYFUNCTION("""COMPUTED_VALUE"""),"MSE 6752")</f>
        <v>MSE 6752</v>
      </c>
      <c r="B44" s="9" t="str">
        <f ca="1">IFERROR(__xludf.DUMMYFUNCTION("""COMPUTED_VALUE"""),"Polymer characterization")</f>
        <v>Polymer characterization</v>
      </c>
      <c r="C44" s="9" t="str">
        <f ca="1">IFERROR(__xludf.DUMMYFUNCTION("""COMPUTED_VALUE"""),"Fall")</f>
        <v>Fall</v>
      </c>
      <c r="D44" s="9" t="str">
        <f ca="1">IFERROR(__xludf.DUMMYFUNCTION("""COMPUTED_VALUE"""),"Every Year")</f>
        <v>Every Year</v>
      </c>
      <c r="E44" s="9" t="str">
        <f ca="1">IFERROR(__xludf.DUMMYFUNCTION("""COMPUTED_VALUE"""),"Engineering")</f>
        <v>Engineering</v>
      </c>
      <c r="F44" s="9"/>
      <c r="G44" s="9"/>
    </row>
    <row r="45" spans="1:7">
      <c r="A45" s="9" t="str">
        <f ca="1">IFERROR(__xludf.DUMMYFUNCTION("""COMPUTED_VALUE"""),"MSE 6768")</f>
        <v>MSE 6768</v>
      </c>
      <c r="B45" s="9" t="str">
        <f ca="1">IFERROR(__xludf.DUMMYFUNCTION("""COMPUTED_VALUE"""),"Polymer structure, physical properties, and characterization")</f>
        <v>Polymer structure, physical properties, and characterization</v>
      </c>
      <c r="C45" s="9" t="str">
        <f ca="1">IFERROR(__xludf.DUMMYFUNCTION("""COMPUTED_VALUE"""),"Spring")</f>
        <v>Spring</v>
      </c>
      <c r="D45" s="9" t="str">
        <f ca="1">IFERROR(__xludf.DUMMYFUNCTION("""COMPUTED_VALUE"""),"Every Year")</f>
        <v>Every Year</v>
      </c>
      <c r="E45" s="9" t="str">
        <f ca="1">IFERROR(__xludf.DUMMYFUNCTION("""COMPUTED_VALUE"""),"Engineering")</f>
        <v>Engineering</v>
      </c>
      <c r="F45" s="9"/>
      <c r="G45" s="9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38"/>
  <sheetViews>
    <sheetView workbookViewId="0">
      <pane ySplit="1" topLeftCell="A2" activePane="bottomLeft" state="frozen"/>
      <selection pane="bottomLeft" activeCell="B3" sqref="B3"/>
    </sheetView>
  </sheetViews>
  <sheetFormatPr defaultColWidth="14.42578125" defaultRowHeight="15.75" customHeight="1"/>
  <cols>
    <col min="1" max="1" width="17.5703125" customWidth="1"/>
    <col min="2" max="2" width="53" customWidth="1"/>
  </cols>
  <sheetData>
    <row r="1" spans="1:26">
      <c r="A1" s="7" t="str">
        <f ca="1">IFERROR(__xludf.DUMMYFUNCTION("QUERY('All-Current'!A:G, ""select * where (E='Data Science' or F contains 'Data Science') order by F desc"", 1)"),"Course Number")</f>
        <v>Course Number</v>
      </c>
      <c r="B1" s="10" t="str">
        <f ca="1">IFERROR(__xludf.DUMMYFUNCTION("""COMPUTED_VALUE"""),"Course Name")</f>
        <v>Course Name</v>
      </c>
      <c r="C1" s="10" t="str">
        <f ca="1">IFERROR(__xludf.DUMMYFUNCTION("""COMPUTED_VALUE"""),"Term Offered")</f>
        <v>Term Offered</v>
      </c>
      <c r="D1" s="10" t="str">
        <f ca="1">IFERROR(__xludf.DUMMYFUNCTION("""COMPUTED_VALUE"""),"Frequency")</f>
        <v>Frequency</v>
      </c>
      <c r="E1" s="10" t="str">
        <f ca="1">IFERROR(__xludf.DUMMYFUNCTION("""COMPUTED_VALUE"""),"Category 1")</f>
        <v>Category 1</v>
      </c>
      <c r="F1" s="10" t="str">
        <f ca="1">IFERROR(__xludf.DUMMYFUNCTION("""COMPUTED_VALUE"""),"Category 2")</f>
        <v>Category 2</v>
      </c>
      <c r="G1" s="10" t="str">
        <f ca="1">IFERROR(__xludf.DUMMYFUNCTION("""COMPUTED_VALUE"""),"Cross-Listed As")</f>
        <v>Cross-Listed As</v>
      </c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</row>
    <row r="2" spans="1:26">
      <c r="A2" s="9" t="str">
        <f ca="1">IFERROR(__xludf.DUMMYFUNCTION("""COMPUTED_VALUE"""),"CS 7643")</f>
        <v>CS 7643</v>
      </c>
      <c r="B2" s="9" t="str">
        <f ca="1">IFERROR(__xludf.DUMMYFUNCTION("""COMPUTED_VALUE"""),"Deep learning")</f>
        <v>Deep learning</v>
      </c>
      <c r="C2" s="9" t="str">
        <f ca="1">IFERROR(__xludf.DUMMYFUNCTION("""COMPUTED_VALUE"""),"Varies")</f>
        <v>Varies</v>
      </c>
      <c r="D2" s="9" t="str">
        <f ca="1">IFERROR(__xludf.DUMMYFUNCTION("""COMPUTED_VALUE"""),"Varies")</f>
        <v>Varies</v>
      </c>
      <c r="E2" s="9" t="str">
        <f ca="1">IFERROR(__xludf.DUMMYFUNCTION("""COMPUTED_VALUE"""),"Data Science")</f>
        <v>Data Science</v>
      </c>
      <c r="F2" s="9" t="str">
        <f ca="1">IFERROR(__xludf.DUMMYFUNCTION("""COMPUTED_VALUE"""),"Engineering")</f>
        <v>Engineering</v>
      </c>
      <c r="G2" s="9"/>
    </row>
    <row r="3" spans="1:26">
      <c r="A3" s="9" t="str">
        <f ca="1">IFERROR(__xludf.DUMMYFUNCTION("""COMPUTED_VALUE"""),"CS/ISYE 6740")</f>
        <v>CS/ISYE 6740</v>
      </c>
      <c r="B3" s="9" t="str">
        <f ca="1">IFERROR(__xludf.DUMMYFUNCTION("""COMPUTED_VALUE"""),"Computational Data Analysis")</f>
        <v>Computational Data Analysis</v>
      </c>
      <c r="C3" s="9" t="str">
        <f ca="1">IFERROR(__xludf.DUMMYFUNCTION("""COMPUTED_VALUE"""),"Fall/Spring")</f>
        <v>Fall/Spring</v>
      </c>
      <c r="D3" s="9" t="str">
        <f ca="1">IFERROR(__xludf.DUMMYFUNCTION("""COMPUTED_VALUE"""),"Every Year")</f>
        <v>Every Year</v>
      </c>
      <c r="E3" s="9" t="str">
        <f ca="1">IFERROR(__xludf.DUMMYFUNCTION("""COMPUTED_VALUE"""),"Data Science")</f>
        <v>Data Science</v>
      </c>
      <c r="F3" s="9" t="str">
        <f ca="1">IFERROR(__xludf.DUMMYFUNCTION("""COMPUTED_VALUE"""),"Engineering")</f>
        <v>Engineering</v>
      </c>
      <c r="G3" s="9"/>
    </row>
    <row r="4" spans="1:26">
      <c r="A4" s="9" t="str">
        <f ca="1">IFERROR(__xludf.DUMMYFUNCTION("""COMPUTED_VALUE"""),"ECE 6254")</f>
        <v>ECE 6254</v>
      </c>
      <c r="B4" s="9" t="str">
        <f ca="1">IFERROR(__xludf.DUMMYFUNCTION("""COMPUTED_VALUE"""),"Stat ML")</f>
        <v>Stat ML</v>
      </c>
      <c r="C4" s="9" t="str">
        <f ca="1">IFERROR(__xludf.DUMMYFUNCTION("""COMPUTED_VALUE"""),"Spring")</f>
        <v>Spring</v>
      </c>
      <c r="D4" s="9" t="str">
        <f ca="1">IFERROR(__xludf.DUMMYFUNCTION("""COMPUTED_VALUE"""),"Every Year")</f>
        <v>Every Year</v>
      </c>
      <c r="E4" s="9" t="str">
        <f ca="1">IFERROR(__xludf.DUMMYFUNCTION("""COMPUTED_VALUE"""),"Data Science")</f>
        <v>Data Science</v>
      </c>
      <c r="F4" s="9" t="str">
        <f ca="1">IFERROR(__xludf.DUMMYFUNCTION("""COMPUTED_VALUE"""),"Engineering")</f>
        <v>Engineering</v>
      </c>
      <c r="G4" s="9" t="str">
        <f ca="1">IFERROR(__xludf.DUMMYFUNCTION("""COMPUTED_VALUE"""),"BMED 8813")</f>
        <v>BMED 8813</v>
      </c>
    </row>
    <row r="5" spans="1:26">
      <c r="A5" s="9" t="str">
        <f ca="1">IFERROR(__xludf.DUMMYFUNCTION("""COMPUTED_VALUE"""),"ECE 8823")</f>
        <v>ECE 8823</v>
      </c>
      <c r="B5" s="9" t="str">
        <f ca="1">IFERROR(__xludf.DUMMYFUNCTION("""COMPUTED_VALUE"""),"Convex optimization")</f>
        <v>Convex optimization</v>
      </c>
      <c r="C5" s="9" t="str">
        <f ca="1">IFERROR(__xludf.DUMMYFUNCTION("""COMPUTED_VALUE"""),"Varies")</f>
        <v>Varies</v>
      </c>
      <c r="D5" s="9" t="str">
        <f ca="1">IFERROR(__xludf.DUMMYFUNCTION("""COMPUTED_VALUE"""),"Varies")</f>
        <v>Varies</v>
      </c>
      <c r="E5" s="9" t="str">
        <f ca="1">IFERROR(__xludf.DUMMYFUNCTION("""COMPUTED_VALUE"""),"Data Science")</f>
        <v>Data Science</v>
      </c>
      <c r="F5" s="9" t="str">
        <f ca="1">IFERROR(__xludf.DUMMYFUNCTION("""COMPUTED_VALUE"""),"Engineering")</f>
        <v>Engineering</v>
      </c>
      <c r="G5" s="9"/>
    </row>
    <row r="6" spans="1:26">
      <c r="A6" s="9" t="str">
        <f ca="1">IFERROR(__xludf.DUMMYFUNCTION("""COMPUTED_VALUE"""),"ECE 8843/7750")</f>
        <v>ECE 8843/7750</v>
      </c>
      <c r="B6" s="9" t="str">
        <f ca="1">IFERROR(__xludf.DUMMYFUNCTION("""COMPUTED_VALUE"""),"Math Methods of ML")</f>
        <v>Math Methods of ML</v>
      </c>
      <c r="C6" s="9" t="str">
        <f ca="1">IFERROR(__xludf.DUMMYFUNCTION("""COMPUTED_VALUE"""),"Fall")</f>
        <v>Fall</v>
      </c>
      <c r="D6" s="9" t="str">
        <f ca="1">IFERROR(__xludf.DUMMYFUNCTION("""COMPUTED_VALUE"""),"Every Year")</f>
        <v>Every Year</v>
      </c>
      <c r="E6" s="9" t="str">
        <f ca="1">IFERROR(__xludf.DUMMYFUNCTION("""COMPUTED_VALUE"""),"Data Science")</f>
        <v>Data Science</v>
      </c>
      <c r="F6" s="9" t="str">
        <f ca="1">IFERROR(__xludf.DUMMYFUNCTION("""COMPUTED_VALUE"""),"Engineering")</f>
        <v>Engineering</v>
      </c>
      <c r="G6" s="9" t="str">
        <f ca="1">IFERROR(__xludf.DUMMYFUNCTION("""COMPUTED_VALUE"""),"BMED 8813")</f>
        <v>BMED 8813</v>
      </c>
    </row>
    <row r="7" spans="1:26">
      <c r="A7" s="9" t="str">
        <f ca="1">IFERROR(__xludf.DUMMYFUNCTION("""COMPUTED_VALUE"""),"ISYE 7406")</f>
        <v>ISYE 7406</v>
      </c>
      <c r="B7" s="9" t="str">
        <f ca="1">IFERROR(__xludf.DUMMYFUNCTION("""COMPUTED_VALUE"""),"Data Mining and Statistical Learning")</f>
        <v>Data Mining and Statistical Learning</v>
      </c>
      <c r="C7" s="9" t="str">
        <f ca="1">IFERROR(__xludf.DUMMYFUNCTION("""COMPUTED_VALUE"""),"Spring")</f>
        <v>Spring</v>
      </c>
      <c r="D7" s="9" t="str">
        <f ca="1">IFERROR(__xludf.DUMMYFUNCTION("""COMPUTED_VALUE"""),"Every Year")</f>
        <v>Every Year</v>
      </c>
      <c r="E7" s="9" t="str">
        <f ca="1">IFERROR(__xludf.DUMMYFUNCTION("""COMPUTED_VALUE"""),"Data Science")</f>
        <v>Data Science</v>
      </c>
      <c r="F7" s="9" t="str">
        <f ca="1">IFERROR(__xludf.DUMMYFUNCTION("""COMPUTED_VALUE"""),"Engineering")</f>
        <v>Engineering</v>
      </c>
      <c r="G7" s="9"/>
    </row>
    <row r="8" spans="1:26">
      <c r="A8" s="9" t="str">
        <f ca="1">IFERROR(__xludf.DUMMYFUNCTION("""COMPUTED_VALUE"""),"ECE 8803 / ISYE 8803 / CS 8803")</f>
        <v>ECE 8803 / ISYE 8803 / CS 8803</v>
      </c>
      <c r="B8" s="9" t="str">
        <f ca="1">IFERROR(__xludf.DUMMYFUNCTION("""COMPUTED_VALUE"""),"Probabilistic Graphical Models in Machine Learning")</f>
        <v>Probabilistic Graphical Models in Machine Learning</v>
      </c>
      <c r="C8" s="9" t="str">
        <f ca="1">IFERROR(__xludf.DUMMYFUNCTION("""COMPUTED_VALUE"""),"Spring")</f>
        <v>Spring</v>
      </c>
      <c r="D8" s="9" t="str">
        <f ca="1">IFERROR(__xludf.DUMMYFUNCTION("""COMPUTED_VALUE"""),"Every Year")</f>
        <v>Every Year</v>
      </c>
      <c r="E8" s="9" t="str">
        <f ca="1">IFERROR(__xludf.DUMMYFUNCTION("""COMPUTED_VALUE"""),"Engineering")</f>
        <v>Engineering</v>
      </c>
      <c r="F8" s="9" t="str">
        <f ca="1">IFERROR(__xludf.DUMMYFUNCTION("""COMPUTED_VALUE"""),"Data Science")</f>
        <v>Data Science</v>
      </c>
      <c r="G8" s="9"/>
    </row>
    <row r="9" spans="1:26">
      <c r="A9" s="9" t="str">
        <f ca="1">IFERROR(__xludf.DUMMYFUNCTION("""COMPUTED_VALUE"""),"APPH 6225")</f>
        <v>APPH 6225</v>
      </c>
      <c r="B9" s="9" t="str">
        <f ca="1">IFERROR(__xludf.DUMMYFUNCTION("""COMPUTED_VALUE"""),"Biostatistics")</f>
        <v>Biostatistics</v>
      </c>
      <c r="C9" s="9" t="str">
        <f ca="1">IFERROR(__xludf.DUMMYFUNCTION("""COMPUTED_VALUE"""),"Varies")</f>
        <v>Varies</v>
      </c>
      <c r="D9" s="9" t="str">
        <f ca="1">IFERROR(__xludf.DUMMYFUNCTION("""COMPUTED_VALUE"""),"Varies")</f>
        <v>Varies</v>
      </c>
      <c r="E9" s="9" t="str">
        <f ca="1">IFERROR(__xludf.DUMMYFUNCTION("""COMPUTED_VALUE"""),"Data Science")</f>
        <v>Data Science</v>
      </c>
      <c r="F9" s="9"/>
      <c r="G9" s="9"/>
    </row>
    <row r="10" spans="1:26">
      <c r="A10" s="9" t="str">
        <f ca="1">IFERROR(__xludf.DUMMYFUNCTION("""COMPUTED_VALUE"""),"BIOS 505")</f>
        <v>BIOS 505</v>
      </c>
      <c r="B10" s="9" t="str">
        <f ca="1">IFERROR(__xludf.DUMMYFUNCTION("""COMPUTED_VALUE"""),"Stats for Exp Biology")</f>
        <v>Stats for Exp Biology</v>
      </c>
      <c r="C10" s="9" t="str">
        <f ca="1">IFERROR(__xludf.DUMMYFUNCTION("""COMPUTED_VALUE"""),"Varies")</f>
        <v>Varies</v>
      </c>
      <c r="D10" s="9" t="str">
        <f ca="1">IFERROR(__xludf.DUMMYFUNCTION("""COMPUTED_VALUE"""),"Varies")</f>
        <v>Varies</v>
      </c>
      <c r="E10" s="9" t="str">
        <f ca="1">IFERROR(__xludf.DUMMYFUNCTION("""COMPUTED_VALUE"""),"Data Science")</f>
        <v>Data Science</v>
      </c>
      <c r="F10" s="9"/>
      <c r="G10" s="9"/>
    </row>
    <row r="11" spans="1:26">
      <c r="A11" s="9" t="str">
        <f ca="1">IFERROR(__xludf.DUMMYFUNCTION("""COMPUTED_VALUE"""),"BMED 6041")</f>
        <v>BMED 6041</v>
      </c>
      <c r="B11" s="9" t="str">
        <f ca="1">IFERROR(__xludf.DUMMYFUNCTION("""COMPUTED_VALUE"""),"Analytic methods")</f>
        <v>Analytic methods</v>
      </c>
      <c r="C11" s="9" t="str">
        <f ca="1">IFERROR(__xludf.DUMMYFUNCTION("""COMPUTED_VALUE"""),"Varies")</f>
        <v>Varies</v>
      </c>
      <c r="D11" s="9" t="str">
        <f ca="1">IFERROR(__xludf.DUMMYFUNCTION("""COMPUTED_VALUE"""),"Varies")</f>
        <v>Varies</v>
      </c>
      <c r="E11" s="9" t="str">
        <f ca="1">IFERROR(__xludf.DUMMYFUNCTION("""COMPUTED_VALUE"""),"Data Science")</f>
        <v>Data Science</v>
      </c>
      <c r="F11" s="9"/>
      <c r="G11" s="9"/>
    </row>
    <row r="12" spans="1:26">
      <c r="A12" s="9" t="str">
        <f ca="1">IFERROR(__xludf.DUMMYFUNCTION("""COMPUTED_VALUE"""),"BMED 6517")</f>
        <v>BMED 6517</v>
      </c>
      <c r="B12" s="9" t="str">
        <f ca="1">IFERROR(__xludf.DUMMYFUNCTION("""COMPUTED_VALUE"""),"Machine Learning in Bioscience")</f>
        <v>Machine Learning in Bioscience</v>
      </c>
      <c r="C12" s="9" t="str">
        <f ca="1">IFERROR(__xludf.DUMMYFUNCTION("""COMPUTED_VALUE"""),"Fall")</f>
        <v>Fall</v>
      </c>
      <c r="D12" s="9" t="str">
        <f ca="1">IFERROR(__xludf.DUMMYFUNCTION("""COMPUTED_VALUE"""),"Every other Year")</f>
        <v>Every other Year</v>
      </c>
      <c r="E12" s="9" t="str">
        <f ca="1">IFERROR(__xludf.DUMMYFUNCTION("""COMPUTED_VALUE"""),"Data Science")</f>
        <v>Data Science</v>
      </c>
      <c r="F12" s="9"/>
      <c r="G12" s="9"/>
    </row>
    <row r="13" spans="1:26">
      <c r="A13" s="9" t="str">
        <f ca="1">IFERROR(__xludf.DUMMYFUNCTION("""COMPUTED_VALUE"""),"BMED 6700")</f>
        <v>BMED 6700</v>
      </c>
      <c r="B13" s="9" t="str">
        <f ca="1">IFERROR(__xludf.DUMMYFUNCTION("""COMPUTED_VALUE"""),"Biostatistics")</f>
        <v>Biostatistics</v>
      </c>
      <c r="C13" s="9" t="str">
        <f ca="1">IFERROR(__xludf.DUMMYFUNCTION("""COMPUTED_VALUE"""),"Spring")</f>
        <v>Spring</v>
      </c>
      <c r="D13" s="9" t="str">
        <f ca="1">IFERROR(__xludf.DUMMYFUNCTION("""COMPUTED_VALUE"""),"Every Year")</f>
        <v>Every Year</v>
      </c>
      <c r="E13" s="9" t="str">
        <f ca="1">IFERROR(__xludf.DUMMYFUNCTION("""COMPUTED_VALUE"""),"Data Science")</f>
        <v>Data Science</v>
      </c>
      <c r="F13" s="9"/>
      <c r="G13" s="9"/>
    </row>
    <row r="14" spans="1:26">
      <c r="A14" s="9" t="str">
        <f ca="1">IFERROR(__xludf.DUMMYFUNCTION("""COMPUTED_VALUE"""),"BMED 8813 MHI")</f>
        <v>BMED 8813 MHI</v>
      </c>
      <c r="B14" s="9" t="str">
        <f ca="1">IFERROR(__xludf.DUMMYFUNCTION("""COMPUTED_VALUE"""),"Biomedical Health Informatics")</f>
        <v>Biomedical Health Informatics</v>
      </c>
      <c r="C14" s="9" t="str">
        <f ca="1">IFERROR(__xludf.DUMMYFUNCTION("""COMPUTED_VALUE"""),"Spring")</f>
        <v>Spring</v>
      </c>
      <c r="D14" s="9" t="str">
        <f ca="1">IFERROR(__xludf.DUMMYFUNCTION("""COMPUTED_VALUE"""),"Varies")</f>
        <v>Varies</v>
      </c>
      <c r="E14" s="9" t="str">
        <f ca="1">IFERROR(__xludf.DUMMYFUNCTION("""COMPUTED_VALUE"""),"Data Science")</f>
        <v>Data Science</v>
      </c>
      <c r="F14" s="9"/>
      <c r="G14" s="9"/>
    </row>
    <row r="15" spans="1:26">
      <c r="A15" s="9" t="str">
        <f ca="1">IFERROR(__xludf.DUMMYFUNCTION("""COMPUTED_VALUE"""),"CHEM 6481")</f>
        <v>CHEM 6481</v>
      </c>
      <c r="B15" s="9" t="str">
        <f ca="1">IFERROR(__xludf.DUMMYFUNCTION("""COMPUTED_VALUE"""),"Statistical Mechanics")</f>
        <v>Statistical Mechanics</v>
      </c>
      <c r="C15" s="9" t="str">
        <f ca="1">IFERROR(__xludf.DUMMYFUNCTION("""COMPUTED_VALUE"""),"Fall")</f>
        <v>Fall</v>
      </c>
      <c r="D15" s="9" t="str">
        <f ca="1">IFERROR(__xludf.DUMMYFUNCTION("""COMPUTED_VALUE"""),"Varies")</f>
        <v>Varies</v>
      </c>
      <c r="E15" s="9" t="str">
        <f ca="1">IFERROR(__xludf.DUMMYFUNCTION("""COMPUTED_VALUE"""),"Data Science")</f>
        <v>Data Science</v>
      </c>
      <c r="F15" s="9"/>
      <c r="G15" s="9"/>
    </row>
    <row r="16" spans="1:26">
      <c r="A16" s="9" t="str">
        <f ca="1">IFERROR(__xludf.DUMMYFUNCTION("""COMPUTED_VALUE"""),"CS 6550")</f>
        <v>CS 6550</v>
      </c>
      <c r="B16" s="9" t="str">
        <f ca="1">IFERROR(__xludf.DUMMYFUNCTION("""COMPUTED_VALUE"""),"Design and analysis of algorithms")</f>
        <v>Design and analysis of algorithms</v>
      </c>
      <c r="C16" s="9" t="str">
        <f ca="1">IFERROR(__xludf.DUMMYFUNCTION("""COMPUTED_VALUE"""),"Spring")</f>
        <v>Spring</v>
      </c>
      <c r="D16" s="9" t="str">
        <f ca="1">IFERROR(__xludf.DUMMYFUNCTION("""COMPUTED_VALUE"""),"Every Year")</f>
        <v>Every Year</v>
      </c>
      <c r="E16" s="9" t="str">
        <f ca="1">IFERROR(__xludf.DUMMYFUNCTION("""COMPUTED_VALUE"""),"Data Science")</f>
        <v>Data Science</v>
      </c>
      <c r="F16" s="9"/>
      <c r="G16" s="9"/>
    </row>
    <row r="17" spans="1:7">
      <c r="A17" s="9" t="str">
        <f ca="1">IFERROR(__xludf.DUMMYFUNCTION("""COMPUTED_VALUE"""),"CS 7280")</f>
        <v>CS 7280</v>
      </c>
      <c r="B17" s="9" t="str">
        <f ca="1">IFERROR(__xludf.DUMMYFUNCTION("""COMPUTED_VALUE"""),"Network Science")</f>
        <v>Network Science</v>
      </c>
      <c r="C17" s="9" t="str">
        <f ca="1">IFERROR(__xludf.DUMMYFUNCTION("""COMPUTED_VALUE"""),"Varies")</f>
        <v>Varies</v>
      </c>
      <c r="D17" s="9" t="str">
        <f ca="1">IFERROR(__xludf.DUMMYFUNCTION("""COMPUTED_VALUE"""),"Varies")</f>
        <v>Varies</v>
      </c>
      <c r="E17" s="9" t="str">
        <f ca="1">IFERROR(__xludf.DUMMYFUNCTION("""COMPUTED_VALUE"""),"Data Science")</f>
        <v>Data Science</v>
      </c>
      <c r="F17" s="9"/>
      <c r="G17" s="9"/>
    </row>
    <row r="18" spans="1:7">
      <c r="A18" s="9" t="str">
        <f ca="1">IFERROR(__xludf.DUMMYFUNCTION("""COMPUTED_VALUE"""),"CS4650/CS7650")</f>
        <v>CS4650/CS7650</v>
      </c>
      <c r="B18" s="9" t="str">
        <f ca="1">IFERROR(__xludf.DUMMYFUNCTION("""COMPUTED_VALUE"""),"Natural language processing")</f>
        <v>Natural language processing</v>
      </c>
      <c r="C18" s="9" t="str">
        <f ca="1">IFERROR(__xludf.DUMMYFUNCTION("""COMPUTED_VALUE"""),"Spring")</f>
        <v>Spring</v>
      </c>
      <c r="D18" s="9" t="str">
        <f ca="1">IFERROR(__xludf.DUMMYFUNCTION("""COMPUTED_VALUE"""),"Every Year")</f>
        <v>Every Year</v>
      </c>
      <c r="E18" s="9" t="str">
        <f ca="1">IFERROR(__xludf.DUMMYFUNCTION("""COMPUTED_VALUE"""),"Data Science")</f>
        <v>Data Science</v>
      </c>
      <c r="F18" s="9"/>
      <c r="G18" s="9"/>
    </row>
    <row r="19" spans="1:7">
      <c r="A19" s="9" t="str">
        <f ca="1">IFERROR(__xludf.DUMMYFUNCTION("""COMPUTED_VALUE"""),"CSE 6010")</f>
        <v>CSE 6010</v>
      </c>
      <c r="B19" s="9" t="str">
        <f ca="1">IFERROR(__xludf.DUMMYFUNCTION("""COMPUTED_VALUE"""),"Computational Problem Solving for Scientists and Engineers")</f>
        <v>Computational Problem Solving for Scientists and Engineers</v>
      </c>
      <c r="C19" s="9" t="str">
        <f ca="1">IFERROR(__xludf.DUMMYFUNCTION("""COMPUTED_VALUE"""),"Fall")</f>
        <v>Fall</v>
      </c>
      <c r="D19" s="9" t="str">
        <f ca="1">IFERROR(__xludf.DUMMYFUNCTION("""COMPUTED_VALUE"""),"Every Year")</f>
        <v>Every Year</v>
      </c>
      <c r="E19" s="9" t="str">
        <f ca="1">IFERROR(__xludf.DUMMYFUNCTION("""COMPUTED_VALUE"""),"Data Science")</f>
        <v>Data Science</v>
      </c>
      <c r="F19" s="9"/>
      <c r="G19" s="9"/>
    </row>
    <row r="20" spans="1:7">
      <c r="A20" s="9" t="str">
        <f ca="1">IFERROR(__xludf.DUMMYFUNCTION("""COMPUTED_VALUE"""),"CSE 6040")</f>
        <v>CSE 6040</v>
      </c>
      <c r="B20" s="9" t="str">
        <f ca="1">IFERROR(__xludf.DUMMYFUNCTION("""COMPUTED_VALUE"""),"Computing for Data Analytics")</f>
        <v>Computing for Data Analytics</v>
      </c>
      <c r="C20" s="9" t="str">
        <f ca="1">IFERROR(__xludf.DUMMYFUNCTION("""COMPUTED_VALUE"""),"Fall/Spring")</f>
        <v>Fall/Spring</v>
      </c>
      <c r="D20" s="9" t="str">
        <f ca="1">IFERROR(__xludf.DUMMYFUNCTION("""COMPUTED_VALUE"""),"Every Year")</f>
        <v>Every Year</v>
      </c>
      <c r="E20" s="9" t="str">
        <f ca="1">IFERROR(__xludf.DUMMYFUNCTION("""COMPUTED_VALUE"""),"Data Science")</f>
        <v>Data Science</v>
      </c>
      <c r="F20" s="9"/>
      <c r="G20" s="9"/>
    </row>
    <row r="21" spans="1:7">
      <c r="A21" s="9" t="str">
        <f ca="1">IFERROR(__xludf.DUMMYFUNCTION("""COMPUTED_VALUE"""),"CSE 6240")</f>
        <v>CSE 6240</v>
      </c>
      <c r="B21" s="9" t="str">
        <f ca="1">IFERROR(__xludf.DUMMYFUNCTION("""COMPUTED_VALUE"""),"Web search/text mining")</f>
        <v>Web search/text mining</v>
      </c>
      <c r="C21" s="9" t="str">
        <f ca="1">IFERROR(__xludf.DUMMYFUNCTION("""COMPUTED_VALUE"""),"Spring")</f>
        <v>Spring</v>
      </c>
      <c r="D21" s="9" t="str">
        <f ca="1">IFERROR(__xludf.DUMMYFUNCTION("""COMPUTED_VALUE"""),"Every Year")</f>
        <v>Every Year</v>
      </c>
      <c r="E21" s="9" t="str">
        <f ca="1">IFERROR(__xludf.DUMMYFUNCTION("""COMPUTED_VALUE"""),"Data Science")</f>
        <v>Data Science</v>
      </c>
      <c r="F21" s="9"/>
      <c r="G21" s="9"/>
    </row>
    <row r="22" spans="1:7">
      <c r="A22" s="9" t="str">
        <f ca="1">IFERROR(__xludf.DUMMYFUNCTION("""COMPUTED_VALUE"""),"CSE 6242")</f>
        <v>CSE 6242</v>
      </c>
      <c r="B22" s="9" t="str">
        <f ca="1">IFERROR(__xludf.DUMMYFUNCTION("""COMPUTED_VALUE"""),"Data &amp; Visual Analytics")</f>
        <v>Data &amp; Visual Analytics</v>
      </c>
      <c r="C22" s="9" t="str">
        <f ca="1">IFERROR(__xludf.DUMMYFUNCTION("""COMPUTED_VALUE"""),"Fall/Spring")</f>
        <v>Fall/Spring</v>
      </c>
      <c r="D22" s="9" t="str">
        <f ca="1">IFERROR(__xludf.DUMMYFUNCTION("""COMPUTED_VALUE"""),"Every Year")</f>
        <v>Every Year</v>
      </c>
      <c r="E22" s="9" t="str">
        <f ca="1">IFERROR(__xludf.DUMMYFUNCTION("""COMPUTED_VALUE"""),"Data Science")</f>
        <v>Data Science</v>
      </c>
      <c r="F22" s="9"/>
      <c r="G22" s="9"/>
    </row>
    <row r="23" spans="1:7">
      <c r="A23" s="9" t="str">
        <f ca="1">IFERROR(__xludf.DUMMYFUNCTION("""COMPUTED_VALUE"""),"CSE 8803")</f>
        <v>CSE 8803</v>
      </c>
      <c r="B23" s="9" t="str">
        <f ca="1">IFERROR(__xludf.DUMMYFUNCTION("""COMPUTED_VALUE"""),"Big Data in Healthcare")</f>
        <v>Big Data in Healthcare</v>
      </c>
      <c r="C23" s="9" t="str">
        <f ca="1">IFERROR(__xludf.DUMMYFUNCTION("""COMPUTED_VALUE"""),"Varies")</f>
        <v>Varies</v>
      </c>
      <c r="D23" s="9" t="str">
        <f ca="1">IFERROR(__xludf.DUMMYFUNCTION("""COMPUTED_VALUE"""),"Varies")</f>
        <v>Varies</v>
      </c>
      <c r="E23" s="9" t="str">
        <f ca="1">IFERROR(__xludf.DUMMYFUNCTION("""COMPUTED_VALUE"""),"Data Science")</f>
        <v>Data Science</v>
      </c>
      <c r="F23" s="9"/>
      <c r="G23" s="9"/>
    </row>
    <row r="24" spans="1:7">
      <c r="A24" s="9" t="str">
        <f ca="1">IFERROR(__xludf.DUMMYFUNCTION("""COMPUTED_VALUE"""),"ECE 6250")</f>
        <v>ECE 6250</v>
      </c>
      <c r="B24" s="9" t="str">
        <f ca="1">IFERROR(__xludf.DUMMYFUNCTION("""COMPUTED_VALUE"""),"Advanced Topics in Digital Signal Processing")</f>
        <v>Advanced Topics in Digital Signal Processing</v>
      </c>
      <c r="C24" s="9" t="str">
        <f ca="1">IFERROR(__xludf.DUMMYFUNCTION("""COMPUTED_VALUE"""),"Fall")</f>
        <v>Fall</v>
      </c>
      <c r="D24" s="9" t="str">
        <f ca="1">IFERROR(__xludf.DUMMYFUNCTION("""COMPUTED_VALUE"""),"Every Year")</f>
        <v>Every Year</v>
      </c>
      <c r="E24" s="9" t="str">
        <f ca="1">IFERROR(__xludf.DUMMYFUNCTION("""COMPUTED_VALUE"""),"Data Science")</f>
        <v>Data Science</v>
      </c>
      <c r="F24" s="9"/>
      <c r="G24" s="9"/>
    </row>
    <row r="25" spans="1:7">
      <c r="A25" s="9" t="str">
        <f ca="1">IFERROR(__xludf.DUMMYFUNCTION("""COMPUTED_VALUE"""),"ECE 6258")</f>
        <v>ECE 6258</v>
      </c>
      <c r="B25" s="9" t="str">
        <f ca="1">IFERROR(__xludf.DUMMYFUNCTION("""COMPUTED_VALUE"""),"Digital Image Processing")</f>
        <v>Digital Image Processing</v>
      </c>
      <c r="C25" s="9" t="str">
        <f ca="1">IFERROR(__xludf.DUMMYFUNCTION("""COMPUTED_VALUE"""),"Fall")</f>
        <v>Fall</v>
      </c>
      <c r="D25" s="9" t="str">
        <f ca="1">IFERROR(__xludf.DUMMYFUNCTION("""COMPUTED_VALUE"""),"Every Year")</f>
        <v>Every Year</v>
      </c>
      <c r="E25" s="9" t="str">
        <f ca="1">IFERROR(__xludf.DUMMYFUNCTION("""COMPUTED_VALUE"""),"Data Science")</f>
        <v>Data Science</v>
      </c>
      <c r="F25" s="9"/>
      <c r="G25" s="9"/>
    </row>
    <row r="26" spans="1:7">
      <c r="A26" s="9" t="str">
        <f ca="1">IFERROR(__xludf.DUMMYFUNCTION("""COMPUTED_VALUE"""),"ECE 6500")</f>
        <v>ECE 6500</v>
      </c>
      <c r="B26" s="9" t="str">
        <f ca="1">IFERROR(__xludf.DUMMYFUNCTION("""COMPUTED_VALUE"""),"Fourier Tech and Signal Analysis")</f>
        <v>Fourier Tech and Signal Analysis</v>
      </c>
      <c r="C26" s="9" t="str">
        <f ca="1">IFERROR(__xludf.DUMMYFUNCTION("""COMPUTED_VALUE"""),"Fall")</f>
        <v>Fall</v>
      </c>
      <c r="D26" s="9" t="str">
        <f ca="1">IFERROR(__xludf.DUMMYFUNCTION("""COMPUTED_VALUE"""),"Every Year")</f>
        <v>Every Year</v>
      </c>
      <c r="E26" s="9" t="str">
        <f ca="1">IFERROR(__xludf.DUMMYFUNCTION("""COMPUTED_VALUE"""),"Data Science")</f>
        <v>Data Science</v>
      </c>
      <c r="F26" s="9"/>
      <c r="G26" s="9"/>
    </row>
    <row r="27" spans="1:7">
      <c r="A27" s="9" t="str">
        <f ca="1">IFERROR(__xludf.DUMMYFUNCTION("""COMPUTED_VALUE"""),"ECE 6552")</f>
        <v>ECE 6552</v>
      </c>
      <c r="B27" s="9" t="str">
        <f ca="1">IFERROR(__xludf.DUMMYFUNCTION("""COMPUTED_VALUE"""),"Nonlinear systems")</f>
        <v>Nonlinear systems</v>
      </c>
      <c r="C27" s="9" t="str">
        <f ca="1">IFERROR(__xludf.DUMMYFUNCTION("""COMPUTED_VALUE"""),"Spring")</f>
        <v>Spring</v>
      </c>
      <c r="D27" s="9" t="str">
        <f ca="1">IFERROR(__xludf.DUMMYFUNCTION("""COMPUTED_VALUE"""),"Every Year")</f>
        <v>Every Year</v>
      </c>
      <c r="E27" s="9" t="str">
        <f ca="1">IFERROR(__xludf.DUMMYFUNCTION("""COMPUTED_VALUE"""),"Data Science")</f>
        <v>Data Science</v>
      </c>
      <c r="F27" s="9"/>
      <c r="G27" s="9"/>
    </row>
    <row r="28" spans="1:7">
      <c r="A28" s="9" t="str">
        <f ca="1">IFERROR(__xludf.DUMMYFUNCTION("""COMPUTED_VALUE"""),"ECE 6605")</f>
        <v>ECE 6605</v>
      </c>
      <c r="B28" s="9" t="str">
        <f ca="1">IFERROR(__xludf.DUMMYFUNCTION("""COMPUTED_VALUE"""),"Information Theory")</f>
        <v>Information Theory</v>
      </c>
      <c r="C28" s="9" t="str">
        <f ca="1">IFERROR(__xludf.DUMMYFUNCTION("""COMPUTED_VALUE"""),"Fall")</f>
        <v>Fall</v>
      </c>
      <c r="D28" s="9" t="str">
        <f ca="1">IFERROR(__xludf.DUMMYFUNCTION("""COMPUTED_VALUE"""),"Every Year")</f>
        <v>Every Year</v>
      </c>
      <c r="E28" s="9" t="str">
        <f ca="1">IFERROR(__xludf.DUMMYFUNCTION("""COMPUTED_VALUE"""),"Data Science")</f>
        <v>Data Science</v>
      </c>
      <c r="F28" s="9"/>
      <c r="G28" s="9"/>
    </row>
    <row r="29" spans="1:7">
      <c r="A29" s="9" t="str">
        <f ca="1">IFERROR(__xludf.DUMMYFUNCTION("""COMPUTED_VALUE"""),"ISYE 6413")</f>
        <v>ISYE 6413</v>
      </c>
      <c r="B29" s="9" t="str">
        <f ca="1">IFERROR(__xludf.DUMMYFUNCTION("""COMPUTED_VALUE"""),"Design and Analysis of Experiments")</f>
        <v>Design and Analysis of Experiments</v>
      </c>
      <c r="C29" s="9" t="str">
        <f ca="1">IFERROR(__xludf.DUMMYFUNCTION("""COMPUTED_VALUE"""),"Spring")</f>
        <v>Spring</v>
      </c>
      <c r="D29" s="9" t="str">
        <f ca="1">IFERROR(__xludf.DUMMYFUNCTION("""COMPUTED_VALUE"""),"Every Year")</f>
        <v>Every Year</v>
      </c>
      <c r="E29" s="9" t="str">
        <f ca="1">IFERROR(__xludf.DUMMYFUNCTION("""COMPUTED_VALUE"""),"Data Science")</f>
        <v>Data Science</v>
      </c>
      <c r="F29" s="9"/>
      <c r="G29" s="9"/>
    </row>
    <row r="30" spans="1:7">
      <c r="A30" s="9" t="str">
        <f ca="1">IFERROR(__xludf.DUMMYFUNCTION("""COMPUTED_VALUE"""),"ISYE 6414")</f>
        <v>ISYE 6414</v>
      </c>
      <c r="B30" s="9" t="str">
        <f ca="1">IFERROR(__xludf.DUMMYFUNCTION("""COMPUTED_VALUE"""),"Statistical modeling and regression analysis")</f>
        <v>Statistical modeling and regression analysis</v>
      </c>
      <c r="C30" s="9" t="str">
        <f ca="1">IFERROR(__xludf.DUMMYFUNCTION("""COMPUTED_VALUE"""),"Fall/Spring")</f>
        <v>Fall/Spring</v>
      </c>
      <c r="D30" s="9" t="str">
        <f ca="1">IFERROR(__xludf.DUMMYFUNCTION("""COMPUTED_VALUE"""),"Every Year")</f>
        <v>Every Year</v>
      </c>
      <c r="E30" s="9" t="str">
        <f ca="1">IFERROR(__xludf.DUMMYFUNCTION("""COMPUTED_VALUE"""),"Data Science")</f>
        <v>Data Science</v>
      </c>
      <c r="F30" s="9"/>
      <c r="G30" s="9"/>
    </row>
    <row r="31" spans="1:7">
      <c r="A31" s="9" t="str">
        <f ca="1">IFERROR(__xludf.DUMMYFUNCTION("""COMPUTED_VALUE"""),"ISYE 6661")</f>
        <v>ISYE 6661</v>
      </c>
      <c r="B31" s="9" t="str">
        <f ca="1">IFERROR(__xludf.DUMMYFUNCTION("""COMPUTED_VALUE"""),"Linear optimization")</f>
        <v>Linear optimization</v>
      </c>
      <c r="C31" s="9" t="str">
        <f ca="1">IFERROR(__xludf.DUMMYFUNCTION("""COMPUTED_VALUE"""),"Fall/Spring")</f>
        <v>Fall/Spring</v>
      </c>
      <c r="D31" s="9" t="str">
        <f ca="1">IFERROR(__xludf.DUMMYFUNCTION("""COMPUTED_VALUE"""),"Every Year")</f>
        <v>Every Year</v>
      </c>
      <c r="E31" s="9" t="str">
        <f ca="1">IFERROR(__xludf.DUMMYFUNCTION("""COMPUTED_VALUE"""),"Data Science")</f>
        <v>Data Science</v>
      </c>
      <c r="F31" s="9"/>
      <c r="G31" s="9"/>
    </row>
    <row r="32" spans="1:7">
      <c r="A32" s="9" t="str">
        <f ca="1">IFERROR(__xludf.DUMMYFUNCTION("""COMPUTED_VALUE"""),"ISYE 6663")</f>
        <v>ISYE 6663</v>
      </c>
      <c r="B32" s="9" t="str">
        <f ca="1">IFERROR(__xludf.DUMMYFUNCTION("""COMPUTED_VALUE"""),"Nonlinear optimization")</f>
        <v>Nonlinear optimization</v>
      </c>
      <c r="C32" s="9" t="str">
        <f ca="1">IFERROR(__xludf.DUMMYFUNCTION("""COMPUTED_VALUE"""),"Spring")</f>
        <v>Spring</v>
      </c>
      <c r="D32" s="9" t="str">
        <f ca="1">IFERROR(__xludf.DUMMYFUNCTION("""COMPUTED_VALUE"""),"Every Year")</f>
        <v>Every Year</v>
      </c>
      <c r="E32" s="9" t="str">
        <f ca="1">IFERROR(__xludf.DUMMYFUNCTION("""COMPUTED_VALUE"""),"Data Science")</f>
        <v>Data Science</v>
      </c>
      <c r="F32" s="9"/>
      <c r="G32" s="9"/>
    </row>
    <row r="33" spans="1:7">
      <c r="A33" s="9" t="str">
        <f ca="1">IFERROR(__xludf.DUMMYFUNCTION("""COMPUTED_VALUE"""),"ISYE 6739")</f>
        <v>ISYE 6739</v>
      </c>
      <c r="B33" s="9" t="str">
        <f ca="1">IFERROR(__xludf.DUMMYFUNCTION("""COMPUTED_VALUE"""),"Statistical Methods")</f>
        <v>Statistical Methods</v>
      </c>
      <c r="C33" s="9" t="str">
        <f ca="1">IFERROR(__xludf.DUMMYFUNCTION("""COMPUTED_VALUE"""),"Fall/Spring")</f>
        <v>Fall/Spring</v>
      </c>
      <c r="D33" s="9" t="str">
        <f ca="1">IFERROR(__xludf.DUMMYFUNCTION("""COMPUTED_VALUE"""),"Every Year")</f>
        <v>Every Year</v>
      </c>
      <c r="E33" s="9" t="str">
        <f ca="1">IFERROR(__xludf.DUMMYFUNCTION("""COMPUTED_VALUE"""),"Data Science")</f>
        <v>Data Science</v>
      </c>
      <c r="F33" s="9"/>
      <c r="G33" s="9"/>
    </row>
    <row r="34" spans="1:7">
      <c r="A34" s="9" t="str">
        <f ca="1">IFERROR(__xludf.DUMMYFUNCTION("""COMPUTED_VALUE"""),"ISYE 8803")</f>
        <v>ISYE 8803</v>
      </c>
      <c r="B34" s="9" t="str">
        <f ca="1">IFERROR(__xludf.DUMMYFUNCTION("""COMPUTED_VALUE"""),"Introduction to Analytics Modeling")</f>
        <v>Introduction to Analytics Modeling</v>
      </c>
      <c r="C34" s="9" t="str">
        <f ca="1">IFERROR(__xludf.DUMMYFUNCTION("""COMPUTED_VALUE"""),"Varies")</f>
        <v>Varies</v>
      </c>
      <c r="D34" s="9" t="str">
        <f ca="1">IFERROR(__xludf.DUMMYFUNCTION("""COMPUTED_VALUE"""),"Varies")</f>
        <v>Varies</v>
      </c>
      <c r="E34" s="9" t="str">
        <f ca="1">IFERROR(__xludf.DUMMYFUNCTION("""COMPUTED_VALUE"""),"Data Science")</f>
        <v>Data Science</v>
      </c>
      <c r="F34" s="9"/>
      <c r="G34" s="9"/>
    </row>
    <row r="35" spans="1:7">
      <c r="A35" s="9" t="str">
        <f ca="1">IFERROR(__xludf.DUMMYFUNCTION("""COMPUTED_VALUE"""),"MATH 572 (Emory)")</f>
        <v>MATH 572 (Emory)</v>
      </c>
      <c r="B35" s="9" t="str">
        <f ca="1">IFERROR(__xludf.DUMMYFUNCTION("""COMPUTED_VALUE"""),"Numerical Partial Differential Equations")</f>
        <v>Numerical Partial Differential Equations</v>
      </c>
      <c r="C35" s="9" t="str">
        <f ca="1">IFERROR(__xludf.DUMMYFUNCTION("""COMPUTED_VALUE"""),"Spring")</f>
        <v>Spring</v>
      </c>
      <c r="D35" s="9" t="str">
        <f ca="1">IFERROR(__xludf.DUMMYFUNCTION("""COMPUTED_VALUE"""),"Varies")</f>
        <v>Varies</v>
      </c>
      <c r="E35" s="9" t="str">
        <f ca="1">IFERROR(__xludf.DUMMYFUNCTION("""COMPUTED_VALUE"""),"Data Science")</f>
        <v>Data Science</v>
      </c>
      <c r="F35" s="9"/>
      <c r="G35" s="9"/>
    </row>
    <row r="36" spans="1:7">
      <c r="A36" s="9" t="str">
        <f ca="1">IFERROR(__xludf.DUMMYFUNCTION("""COMPUTED_VALUE"""),"MATH 6112")</f>
        <v>MATH 6112</v>
      </c>
      <c r="B36" s="9" t="str">
        <f ca="1">IFERROR(__xludf.DUMMYFUNCTION("""COMPUTED_VALUE"""),"Advanced linear algebra")</f>
        <v>Advanced linear algebra</v>
      </c>
      <c r="C36" s="9" t="str">
        <f ca="1">IFERROR(__xludf.DUMMYFUNCTION("""COMPUTED_VALUE"""),"Fall")</f>
        <v>Fall</v>
      </c>
      <c r="D36" s="9" t="str">
        <f ca="1">IFERROR(__xludf.DUMMYFUNCTION("""COMPUTED_VALUE"""),"Every Year")</f>
        <v>Every Year</v>
      </c>
      <c r="E36" s="9" t="str">
        <f ca="1">IFERROR(__xludf.DUMMYFUNCTION("""COMPUTED_VALUE"""),"Data Science")</f>
        <v>Data Science</v>
      </c>
      <c r="F36" s="9"/>
      <c r="G36" s="9"/>
    </row>
    <row r="37" spans="1:7">
      <c r="A37" s="9" t="str">
        <f ca="1">IFERROR(__xludf.DUMMYFUNCTION("""COMPUTED_VALUE"""),"MATH 6266")</f>
        <v>MATH 6266</v>
      </c>
      <c r="B37" s="9" t="str">
        <f ca="1">IFERROR(__xludf.DUMMYFUNCTION("""COMPUTED_VALUE"""),"Linear statistical models")</f>
        <v>Linear statistical models</v>
      </c>
      <c r="C37" s="9" t="str">
        <f ca="1">IFERROR(__xludf.DUMMYFUNCTION("""COMPUTED_VALUE"""),"Fall")</f>
        <v>Fall</v>
      </c>
      <c r="D37" s="9" t="str">
        <f ca="1">IFERROR(__xludf.DUMMYFUNCTION("""COMPUTED_VALUE"""),"Every Year")</f>
        <v>Every Year</v>
      </c>
      <c r="E37" s="9" t="str">
        <f ca="1">IFERROR(__xludf.DUMMYFUNCTION("""COMPUTED_VALUE"""),"Data Science")</f>
        <v>Data Science</v>
      </c>
      <c r="F37" s="9"/>
      <c r="G37" s="9"/>
    </row>
    <row r="38" spans="1:7">
      <c r="A38" s="9" t="str">
        <f ca="1">IFERROR(__xludf.DUMMYFUNCTION("""COMPUTED_VALUE"""),"MATH 6646")</f>
        <v>MATH 6646</v>
      </c>
      <c r="B38" s="9" t="str">
        <f ca="1">IFERROR(__xludf.DUMMYFUNCTION("""COMPUTED_VALUE"""),"Numerial Methods for ODE")</f>
        <v>Numerial Methods for ODE</v>
      </c>
      <c r="C38" s="9" t="str">
        <f ca="1">IFERROR(__xludf.DUMMYFUNCTION("""COMPUTED_VALUE"""),"Spring")</f>
        <v>Spring</v>
      </c>
      <c r="D38" s="9" t="str">
        <f ca="1">IFERROR(__xludf.DUMMYFUNCTION("""COMPUTED_VALUE"""),"Every Year")</f>
        <v>Every Year</v>
      </c>
      <c r="E38" s="9" t="str">
        <f ca="1">IFERROR(__xludf.DUMMYFUNCTION("""COMPUTED_VALUE"""),"Data Science")</f>
        <v>Data Science</v>
      </c>
      <c r="F38" s="9"/>
      <c r="G38" s="9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49"/>
  <sheetViews>
    <sheetView workbookViewId="0">
      <pane ySplit="1" topLeftCell="A10" activePane="bottomLeft" state="frozen"/>
      <selection pane="bottomLeft" activeCell="B34" sqref="B34"/>
    </sheetView>
  </sheetViews>
  <sheetFormatPr defaultColWidth="14.42578125" defaultRowHeight="15.75" customHeight="1"/>
  <cols>
    <col min="1" max="1" width="21.85546875" customWidth="1"/>
    <col min="2" max="2" width="34.7109375" customWidth="1"/>
    <col min="7" max="7" width="18.7109375" customWidth="1"/>
  </cols>
  <sheetData>
    <row r="1" spans="1:26">
      <c r="A1" s="11" t="str">
        <f ca="1">IFERROR(__xludf.DUMMYFUNCTION("QUERY('All-Current'!A:G, ""select * where (E='Elective' or F contains 'Elective') order by F desc"", 1)"),"Course Number")</f>
        <v>Course Number</v>
      </c>
      <c r="B1" s="11" t="str">
        <f ca="1">IFERROR(__xludf.DUMMYFUNCTION("""COMPUTED_VALUE"""),"Course Name")</f>
        <v>Course Name</v>
      </c>
      <c r="C1" s="11" t="str">
        <f ca="1">IFERROR(__xludf.DUMMYFUNCTION("""COMPUTED_VALUE"""),"Term Offered")</f>
        <v>Term Offered</v>
      </c>
      <c r="D1" s="11" t="str">
        <f ca="1">IFERROR(__xludf.DUMMYFUNCTION("""COMPUTED_VALUE"""),"Frequency")</f>
        <v>Frequency</v>
      </c>
      <c r="E1" s="12" t="str">
        <f ca="1">IFERROR(__xludf.DUMMYFUNCTION("""COMPUTED_VALUE"""),"Category 1")</f>
        <v>Category 1</v>
      </c>
      <c r="F1" s="12" t="str">
        <f ca="1">IFERROR(__xludf.DUMMYFUNCTION("""COMPUTED_VALUE"""),"Category 2")</f>
        <v>Category 2</v>
      </c>
      <c r="G1" s="12" t="str">
        <f ca="1">IFERROR(__xludf.DUMMYFUNCTION("""COMPUTED_VALUE"""),"Cross-Listed As")</f>
        <v>Cross-Listed As</v>
      </c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</row>
    <row r="2" spans="1:26">
      <c r="A2" s="14" t="str">
        <f ca="1">IFERROR(__xludf.DUMMYFUNCTION("""COMPUTED_VALUE"""),"APPH 4400/6400")</f>
        <v>APPH 4400/6400</v>
      </c>
      <c r="B2" s="14" t="str">
        <f ca="1">IFERROR(__xludf.DUMMYFUNCTION("""COMPUTED_VALUE"""),"Human Neuroanatomy")</f>
        <v>Human Neuroanatomy</v>
      </c>
      <c r="C2" s="14" t="str">
        <f ca="1">IFERROR(__xludf.DUMMYFUNCTION("""COMPUTED_VALUE"""),"Fall")</f>
        <v>Fall</v>
      </c>
      <c r="D2" s="14" t="str">
        <f ca="1">IFERROR(__xludf.DUMMYFUNCTION("""COMPUTED_VALUE"""),"Every Year")</f>
        <v>Every Year</v>
      </c>
      <c r="E2" s="15" t="str">
        <f ca="1">IFERROR(__xludf.DUMMYFUNCTION("""COMPUTED_VALUE"""),"Elective")</f>
        <v>Elective</v>
      </c>
      <c r="F2" s="15"/>
      <c r="G2" s="15"/>
    </row>
    <row r="3" spans="1:26">
      <c r="A3" s="14" t="str">
        <f ca="1">IFERROR(__xludf.DUMMYFUNCTION("""COMPUTED_VALUE"""),"APPH 6212")</f>
        <v>APPH 6212</v>
      </c>
      <c r="B3" s="14" t="str">
        <f ca="1">IFERROR(__xludf.DUMMYFUNCTION("""COMPUTED_VALUE"""),"Systems Physiology II")</f>
        <v>Systems Physiology II</v>
      </c>
      <c r="C3" s="14" t="str">
        <f ca="1">IFERROR(__xludf.DUMMYFUNCTION("""COMPUTED_VALUE"""),"Spring")</f>
        <v>Spring</v>
      </c>
      <c r="D3" s="14" t="str">
        <f ca="1">IFERROR(__xludf.DUMMYFUNCTION("""COMPUTED_VALUE"""),"Every Year")</f>
        <v>Every Year</v>
      </c>
      <c r="E3" s="15" t="str">
        <f ca="1">IFERROR(__xludf.DUMMYFUNCTION("""COMPUTED_VALUE"""),"Elective")</f>
        <v>Elective</v>
      </c>
      <c r="F3" s="15"/>
      <c r="G3" s="15"/>
    </row>
    <row r="4" spans="1:26">
      <c r="A4" s="14" t="str">
        <f ca="1">IFERROR(__xludf.DUMMYFUNCTION("""COMPUTED_VALUE"""),"BMED 4477")</f>
        <v>BMED 4477</v>
      </c>
      <c r="B4" s="14" t="str">
        <f ca="1">IFERROR(__xludf.DUMMYFUNCTION("""COMPUTED_VALUE"""),"Bionetworks and Genomics")</f>
        <v>Bionetworks and Genomics</v>
      </c>
      <c r="C4" s="14" t="str">
        <f ca="1">IFERROR(__xludf.DUMMYFUNCTION("""COMPUTED_VALUE"""),"Fall")</f>
        <v>Fall</v>
      </c>
      <c r="D4" s="14" t="str">
        <f ca="1">IFERROR(__xludf.DUMMYFUNCTION("""COMPUTED_VALUE"""),"Every Year")</f>
        <v>Every Year</v>
      </c>
      <c r="E4" s="15" t="str">
        <f ca="1">IFERROR(__xludf.DUMMYFUNCTION("""COMPUTED_VALUE"""),"Elective")</f>
        <v>Elective</v>
      </c>
      <c r="F4" s="15"/>
      <c r="G4" s="15"/>
    </row>
    <row r="5" spans="1:26">
      <c r="A5" s="14" t="str">
        <f ca="1">IFERROR(__xludf.DUMMYFUNCTION("""COMPUTED_VALUE"""),"BMED 4784")</f>
        <v>BMED 4784</v>
      </c>
      <c r="B5" s="14" t="str">
        <f ca="1">IFERROR(__xludf.DUMMYFUNCTION("""COMPUTED_VALUE"""),"Engr Electrophys")</f>
        <v>Engr Electrophys</v>
      </c>
      <c r="C5" s="14" t="str">
        <f ca="1">IFERROR(__xludf.DUMMYFUNCTION("""COMPUTED_VALUE"""),"Fall")</f>
        <v>Fall</v>
      </c>
      <c r="D5" s="14" t="str">
        <f ca="1">IFERROR(__xludf.DUMMYFUNCTION("""COMPUTED_VALUE"""),"Every Year")</f>
        <v>Every Year</v>
      </c>
      <c r="E5" s="15" t="str">
        <f ca="1">IFERROR(__xludf.DUMMYFUNCTION("""COMPUTED_VALUE"""),"Elective")</f>
        <v>Elective</v>
      </c>
      <c r="F5" s="15"/>
      <c r="G5" s="15"/>
    </row>
    <row r="6" spans="1:26">
      <c r="A6" s="14" t="str">
        <f ca="1">IFERROR(__xludf.DUMMYFUNCTION("""COMPUTED_VALUE"""),"BMED 4803")</f>
        <v>BMED 4803</v>
      </c>
      <c r="B6" s="14" t="str">
        <f ca="1">IFERROR(__xludf.DUMMYFUNCTION("""COMPUTED_VALUE"""),"Intro to NeuroEng")</f>
        <v>Intro to NeuroEng</v>
      </c>
      <c r="C6" s="14" t="str">
        <f ca="1">IFERROR(__xludf.DUMMYFUNCTION("""COMPUTED_VALUE"""),"Spring")</f>
        <v>Spring</v>
      </c>
      <c r="D6" s="14" t="str">
        <f ca="1">IFERROR(__xludf.DUMMYFUNCTION("""COMPUTED_VALUE"""),"Every Year")</f>
        <v>Every Year</v>
      </c>
      <c r="E6" s="15" t="str">
        <f ca="1">IFERROR(__xludf.DUMMYFUNCTION("""COMPUTED_VALUE"""),"Elective")</f>
        <v>Elective</v>
      </c>
      <c r="F6" s="15"/>
      <c r="G6" s="15"/>
    </row>
    <row r="7" spans="1:26">
      <c r="A7" s="14" t="str">
        <f ca="1">IFERROR(__xludf.DUMMYFUNCTION("""COMPUTED_VALUE"""),"BMED 4803")</f>
        <v>BMED 4803</v>
      </c>
      <c r="B7" s="14" t="str">
        <f ca="1">IFERROR(__xludf.DUMMYFUNCTION("""COMPUTED_VALUE"""),"Systems Neuropathology and Translational Eng")</f>
        <v>Systems Neuropathology and Translational Eng</v>
      </c>
      <c r="C7" s="14" t="str">
        <f ca="1">IFERROR(__xludf.DUMMYFUNCTION("""COMPUTED_VALUE"""),"Varies")</f>
        <v>Varies</v>
      </c>
      <c r="D7" s="14" t="str">
        <f ca="1">IFERROR(__xludf.DUMMYFUNCTION("""COMPUTED_VALUE"""),"Varies")</f>
        <v>Varies</v>
      </c>
      <c r="E7" s="15" t="str">
        <f ca="1">IFERROR(__xludf.DUMMYFUNCTION("""COMPUTED_VALUE"""),"Elective")</f>
        <v>Elective</v>
      </c>
      <c r="F7" s="15"/>
      <c r="G7" s="15"/>
    </row>
    <row r="8" spans="1:26">
      <c r="A8" s="14" t="str">
        <f ca="1">IFERROR(__xludf.DUMMYFUNCTION("""COMPUTED_VALUE"""),"BMED 6710")</f>
        <v>BMED 6710</v>
      </c>
      <c r="B8" s="14" t="str">
        <f ca="1">IFERROR(__xludf.DUMMYFUNCTION("""COMPUTED_VALUE"""),"Rational Design of Biomaterials")</f>
        <v>Rational Design of Biomaterials</v>
      </c>
      <c r="C8" s="14" t="str">
        <f ca="1">IFERROR(__xludf.DUMMYFUNCTION("""COMPUTED_VALUE"""),"Varies")</f>
        <v>Varies</v>
      </c>
      <c r="D8" s="14" t="str">
        <f ca="1">IFERROR(__xludf.DUMMYFUNCTION("""COMPUTED_VALUE"""),"Varies")</f>
        <v>Varies</v>
      </c>
      <c r="E8" s="15" t="str">
        <f ca="1">IFERROR(__xludf.DUMMYFUNCTION("""COMPUTED_VALUE"""),"Elective")</f>
        <v>Elective</v>
      </c>
      <c r="F8" s="15"/>
      <c r="G8" s="15"/>
    </row>
    <row r="9" spans="1:26">
      <c r="A9" s="14" t="str">
        <f ca="1">IFERROR(__xludf.DUMMYFUNCTION("""COMPUTED_VALUE"""),"BMED 6711")</f>
        <v>BMED 6711</v>
      </c>
      <c r="B9" s="14" t="str">
        <f ca="1">IFERROR(__xludf.DUMMYFUNCTION("""COMPUTED_VALUE"""),"Rational Design of Biomaterials Lab")</f>
        <v>Rational Design of Biomaterials Lab</v>
      </c>
      <c r="C9" s="14" t="str">
        <f ca="1">IFERROR(__xludf.DUMMYFUNCTION("""COMPUTED_VALUE"""),"Spring")</f>
        <v>Spring</v>
      </c>
      <c r="D9" s="14" t="str">
        <f ca="1">IFERROR(__xludf.DUMMYFUNCTION("""COMPUTED_VALUE"""),"Every Year")</f>
        <v>Every Year</v>
      </c>
      <c r="E9" s="15" t="str">
        <f ca="1">IFERROR(__xludf.DUMMYFUNCTION("""COMPUTED_VALUE"""),"Elective")</f>
        <v>Elective</v>
      </c>
      <c r="F9" s="15"/>
      <c r="G9" s="15"/>
    </row>
    <row r="10" spans="1:26">
      <c r="A10" s="14" t="str">
        <f ca="1">IFERROR(__xludf.DUMMYFUNCTION("""COMPUTED_VALUE"""),"BMED 6739")</f>
        <v>BMED 6739</v>
      </c>
      <c r="B10" s="14" t="str">
        <f ca="1">IFERROR(__xludf.DUMMYFUNCTION("""COMPUTED_VALUE"""),"Medical Robotics")</f>
        <v>Medical Robotics</v>
      </c>
      <c r="C10" s="14" t="str">
        <f ca="1">IFERROR(__xludf.DUMMYFUNCTION("""COMPUTED_VALUE"""),"Spring")</f>
        <v>Spring</v>
      </c>
      <c r="D10" s="14" t="str">
        <f ca="1">IFERROR(__xludf.DUMMYFUNCTION("""COMPUTED_VALUE"""),"Every Year")</f>
        <v>Every Year</v>
      </c>
      <c r="E10" s="15" t="str">
        <f ca="1">IFERROR(__xludf.DUMMYFUNCTION("""COMPUTED_VALUE"""),"Elective")</f>
        <v>Elective</v>
      </c>
      <c r="F10" s="15"/>
      <c r="G10" s="15"/>
    </row>
    <row r="11" spans="1:26">
      <c r="A11" s="14" t="str">
        <f ca="1">IFERROR(__xludf.DUMMYFUNCTION("""COMPUTED_VALUE"""),"BMED 6774")</f>
        <v>BMED 6774</v>
      </c>
      <c r="B11" s="14" t="str">
        <f ca="1">IFERROR(__xludf.DUMMYFUNCTION("""COMPUTED_VALUE"""),"Biomaterials")</f>
        <v>Biomaterials</v>
      </c>
      <c r="C11" s="14" t="str">
        <f ca="1">IFERROR(__xludf.DUMMYFUNCTION("""COMPUTED_VALUE"""),"Varies")</f>
        <v>Varies</v>
      </c>
      <c r="D11" s="14" t="str">
        <f ca="1">IFERROR(__xludf.DUMMYFUNCTION("""COMPUTED_VALUE"""),"Varies")</f>
        <v>Varies</v>
      </c>
      <c r="E11" s="15" t="str">
        <f ca="1">IFERROR(__xludf.DUMMYFUNCTION("""COMPUTED_VALUE"""),"Elective")</f>
        <v>Elective</v>
      </c>
      <c r="F11" s="15"/>
      <c r="G11" s="15"/>
    </row>
    <row r="12" spans="1:26">
      <c r="A12" s="14" t="str">
        <f ca="1">IFERROR(__xludf.DUMMYFUNCTION("""COMPUTED_VALUE"""),"BMED 6777")</f>
        <v>BMED 6777</v>
      </c>
      <c r="B12" s="14" t="str">
        <f ca="1">IFERROR(__xludf.DUMMYFUNCTION("""COMPUTED_VALUE"""),"Advanced Biomaterials")</f>
        <v>Advanced Biomaterials</v>
      </c>
      <c r="C12" s="14" t="str">
        <f ca="1">IFERROR(__xludf.DUMMYFUNCTION("""COMPUTED_VALUE"""),"Spring")</f>
        <v>Spring</v>
      </c>
      <c r="D12" s="14" t="str">
        <f ca="1">IFERROR(__xludf.DUMMYFUNCTION("""COMPUTED_VALUE"""),"Every Year")</f>
        <v>Every Year</v>
      </c>
      <c r="E12" s="15" t="str">
        <f ca="1">IFERROR(__xludf.DUMMYFUNCTION("""COMPUTED_VALUE"""),"Elective")</f>
        <v>Elective</v>
      </c>
      <c r="F12" s="15"/>
      <c r="G12" s="15"/>
    </row>
    <row r="13" spans="1:26">
      <c r="A13" s="14" t="str">
        <f ca="1">IFERROR(__xludf.DUMMYFUNCTION("""COMPUTED_VALUE"""),"BMED 6782")</f>
        <v>BMED 6782</v>
      </c>
      <c r="B13" s="14" t="str">
        <f ca="1">IFERROR(__xludf.DUMMYFUNCTION("""COMPUTED_VALUE"""),"Cellular Engineering")</f>
        <v>Cellular Engineering</v>
      </c>
      <c r="C13" s="14" t="str">
        <f ca="1">IFERROR(__xludf.DUMMYFUNCTION("""COMPUTED_VALUE"""),"Fall")</f>
        <v>Fall</v>
      </c>
      <c r="D13" s="14" t="str">
        <f ca="1">IFERROR(__xludf.DUMMYFUNCTION("""COMPUTED_VALUE"""),"Every Year")</f>
        <v>Every Year</v>
      </c>
      <c r="E13" s="15" t="str">
        <f ca="1">IFERROR(__xludf.DUMMYFUNCTION("""COMPUTED_VALUE"""),"Elective")</f>
        <v>Elective</v>
      </c>
      <c r="F13" s="15"/>
      <c r="G13" s="15"/>
    </row>
    <row r="14" spans="1:26">
      <c r="A14" s="14" t="str">
        <f ca="1">IFERROR(__xludf.DUMMYFUNCTION("""COMPUTED_VALUE"""),"BMED 6784")</f>
        <v>BMED 6784</v>
      </c>
      <c r="B14" s="14" t="str">
        <f ca="1">IFERROR(__xludf.DUMMYFUNCTION("""COMPUTED_VALUE"""),"Cardiovascular Biomechanics")</f>
        <v>Cardiovascular Biomechanics</v>
      </c>
      <c r="C14" s="14" t="str">
        <f ca="1">IFERROR(__xludf.DUMMYFUNCTION("""COMPUTED_VALUE"""),"Varies")</f>
        <v>Varies</v>
      </c>
      <c r="D14" s="14" t="str">
        <f ca="1">IFERROR(__xludf.DUMMYFUNCTION("""COMPUTED_VALUE"""),"Varies")</f>
        <v>Varies</v>
      </c>
      <c r="E14" s="15" t="str">
        <f ca="1">IFERROR(__xludf.DUMMYFUNCTION("""COMPUTED_VALUE"""),"Elective")</f>
        <v>Elective</v>
      </c>
      <c r="F14" s="15"/>
      <c r="G14" s="15"/>
    </row>
    <row r="15" spans="1:26">
      <c r="A15" s="14" t="str">
        <f ca="1">IFERROR(__xludf.DUMMYFUNCTION("""COMPUTED_VALUE"""),"BMED 6787")</f>
        <v>BMED 6787</v>
      </c>
      <c r="B15" s="14" t="str">
        <f ca="1">IFERROR(__xludf.DUMMYFUNCTION("""COMPUTED_VALUE"""),"Quantitative Electrophysiology")</f>
        <v>Quantitative Electrophysiology</v>
      </c>
      <c r="C15" s="14" t="str">
        <f ca="1">IFERROR(__xludf.DUMMYFUNCTION("""COMPUTED_VALUE"""),"Varies")</f>
        <v>Varies</v>
      </c>
      <c r="D15" s="14" t="str">
        <f ca="1">IFERROR(__xludf.DUMMYFUNCTION("""COMPUTED_VALUE"""),"Varies")</f>
        <v>Varies</v>
      </c>
      <c r="E15" s="15" t="str">
        <f ca="1">IFERROR(__xludf.DUMMYFUNCTION("""COMPUTED_VALUE"""),"Elective")</f>
        <v>Elective</v>
      </c>
      <c r="F15" s="15"/>
      <c r="G15" s="15"/>
    </row>
    <row r="16" spans="1:26">
      <c r="A16" s="14" t="str">
        <f ca="1">IFERROR(__xludf.DUMMYFUNCTION("""COMPUTED_VALUE"""),"BMED 6790")</f>
        <v>BMED 6790</v>
      </c>
      <c r="B16" s="14" t="str">
        <f ca="1">IFERROR(__xludf.DUMMYFUNCTION("""COMPUTED_VALUE"""),"Information processing models in neural systems")</f>
        <v>Information processing models in neural systems</v>
      </c>
      <c r="C16" s="14" t="str">
        <f ca="1">IFERROR(__xludf.DUMMYFUNCTION("""COMPUTED_VALUE"""),"Spring")</f>
        <v>Spring</v>
      </c>
      <c r="D16" s="14" t="str">
        <f ca="1">IFERROR(__xludf.DUMMYFUNCTION("""COMPUTED_VALUE"""),"Every other Year")</f>
        <v>Every other Year</v>
      </c>
      <c r="E16" s="15" t="str">
        <f ca="1">IFERROR(__xludf.DUMMYFUNCTION("""COMPUTED_VALUE"""),"Elective")</f>
        <v>Elective</v>
      </c>
      <c r="F16" s="15"/>
      <c r="G16" s="15"/>
    </row>
    <row r="17" spans="1:7">
      <c r="A17" s="14" t="str">
        <f ca="1">IFERROR(__xludf.DUMMYFUNCTION("""COMPUTED_VALUE"""),"BMED 6790")</f>
        <v>BMED 6790</v>
      </c>
      <c r="B17" s="14" t="str">
        <f ca="1">IFERROR(__xludf.DUMMYFUNCTION("""COMPUTED_VALUE"""),"Information processing of models in neural systems")</f>
        <v>Information processing of models in neural systems</v>
      </c>
      <c r="C17" s="14" t="str">
        <f ca="1">IFERROR(__xludf.DUMMYFUNCTION("""COMPUTED_VALUE"""),"Spring")</f>
        <v>Spring</v>
      </c>
      <c r="D17" s="14" t="str">
        <f ca="1">IFERROR(__xludf.DUMMYFUNCTION("""COMPUTED_VALUE"""),"Every other Year")</f>
        <v>Every other Year</v>
      </c>
      <c r="E17" s="15" t="str">
        <f ca="1">IFERROR(__xludf.DUMMYFUNCTION("""COMPUTED_VALUE"""),"Elective")</f>
        <v>Elective</v>
      </c>
      <c r="F17" s="15"/>
      <c r="G17" s="15"/>
    </row>
    <row r="18" spans="1:7">
      <c r="A18" s="14" t="str">
        <f ca="1">IFERROR(__xludf.DUMMYFUNCTION("""COMPUTED_VALUE"""),"BMED 6794")</f>
        <v>BMED 6794</v>
      </c>
      <c r="B18" s="14" t="str">
        <f ca="1">IFERROR(__xludf.DUMMYFUNCTION("""COMPUTED_VALUE"""),"Tissue Engineering")</f>
        <v>Tissue Engineering</v>
      </c>
      <c r="C18" s="14" t="str">
        <f ca="1">IFERROR(__xludf.DUMMYFUNCTION("""COMPUTED_VALUE"""),"Varies")</f>
        <v>Varies</v>
      </c>
      <c r="D18" s="14" t="str">
        <f ca="1">IFERROR(__xludf.DUMMYFUNCTION("""COMPUTED_VALUE"""),"Varies")</f>
        <v>Varies</v>
      </c>
      <c r="E18" s="15" t="str">
        <f ca="1">IFERROR(__xludf.DUMMYFUNCTION("""COMPUTED_VALUE"""),"Elective")</f>
        <v>Elective</v>
      </c>
      <c r="F18" s="15"/>
      <c r="G18" s="15"/>
    </row>
    <row r="19" spans="1:7">
      <c r="A19" s="14" t="str">
        <f ca="1">IFERROR(__xludf.DUMMYFUNCTION("""COMPUTED_VALUE"""),"BMED 7310")</f>
        <v>BMED 7310</v>
      </c>
      <c r="B19" s="14" t="str">
        <f ca="1">IFERROR(__xludf.DUMMYFUNCTION("""COMPUTED_VALUE"""),"Stem cell engineering")</f>
        <v>Stem cell engineering</v>
      </c>
      <c r="C19" s="14" t="str">
        <f ca="1">IFERROR(__xludf.DUMMYFUNCTION("""COMPUTED_VALUE"""),"Spring")</f>
        <v>Spring</v>
      </c>
      <c r="D19" s="14" t="str">
        <f ca="1">IFERROR(__xludf.DUMMYFUNCTION("""COMPUTED_VALUE"""),"Every other Year")</f>
        <v>Every other Year</v>
      </c>
      <c r="E19" s="15" t="str">
        <f ca="1">IFERROR(__xludf.DUMMYFUNCTION("""COMPUTED_VALUE"""),"Elective")</f>
        <v>Elective</v>
      </c>
      <c r="F19" s="15"/>
      <c r="G19" s="15"/>
    </row>
    <row r="20" spans="1:7">
      <c r="A20" s="14" t="str">
        <f ca="1">IFERROR(__xludf.DUMMYFUNCTION("""COMPUTED_VALUE"""),"BMED 7610")</f>
        <v>BMED 7610</v>
      </c>
      <c r="B20" s="14" t="str">
        <f ca="1">IFERROR(__xludf.DUMMYFUNCTION("""COMPUTED_VALUE"""),"Comp Neuro")</f>
        <v>Comp Neuro</v>
      </c>
      <c r="C20" s="14" t="str">
        <f ca="1">IFERROR(__xludf.DUMMYFUNCTION("""COMPUTED_VALUE"""),"Fall")</f>
        <v>Fall</v>
      </c>
      <c r="D20" s="14" t="str">
        <f ca="1">IFERROR(__xludf.DUMMYFUNCTION("""COMPUTED_VALUE"""),"Every Year")</f>
        <v>Every Year</v>
      </c>
      <c r="E20" s="15" t="str">
        <f ca="1">IFERROR(__xludf.DUMMYFUNCTION("""COMPUTED_VALUE"""),"Elective")</f>
        <v>Elective</v>
      </c>
      <c r="F20" s="15"/>
      <c r="G20" s="15"/>
    </row>
    <row r="21" spans="1:7">
      <c r="A21" s="14" t="str">
        <f ca="1">IFERROR(__xludf.DUMMYFUNCTION("""COMPUTED_VALUE"""),"BMED 7610")</f>
        <v>BMED 7610</v>
      </c>
      <c r="B21" s="14" t="str">
        <f ca="1">IFERROR(__xludf.DUMMYFUNCTION("""COMPUTED_VALUE"""),"Quantitative Neuro")</f>
        <v>Quantitative Neuro</v>
      </c>
      <c r="C21" s="14" t="str">
        <f ca="1">IFERROR(__xludf.DUMMYFUNCTION("""COMPUTED_VALUE"""),"Fall")</f>
        <v>Fall</v>
      </c>
      <c r="D21" s="14" t="str">
        <f ca="1">IFERROR(__xludf.DUMMYFUNCTION("""COMPUTED_VALUE"""),"Every Year")</f>
        <v>Every Year</v>
      </c>
      <c r="E21" s="15" t="str">
        <f ca="1">IFERROR(__xludf.DUMMYFUNCTION("""COMPUTED_VALUE"""),"Elective")</f>
        <v>Elective</v>
      </c>
      <c r="F21" s="15"/>
      <c r="G21" s="15"/>
    </row>
    <row r="22" spans="1:7">
      <c r="A22" s="14" t="str">
        <f ca="1">IFERROR(__xludf.DUMMYFUNCTION("""COMPUTED_VALUE"""),"BMED 8813")</f>
        <v>BMED 8813</v>
      </c>
      <c r="B22" s="14" t="str">
        <f ca="1">IFERROR(__xludf.DUMMYFUNCTION("""COMPUTED_VALUE"""),"Systems Neuropathology and Translational Engineering")</f>
        <v>Systems Neuropathology and Translational Engineering</v>
      </c>
      <c r="C22" s="14" t="str">
        <f ca="1">IFERROR(__xludf.DUMMYFUNCTION("""COMPUTED_VALUE"""),"Fall")</f>
        <v>Fall</v>
      </c>
      <c r="D22" s="14" t="str">
        <f ca="1">IFERROR(__xludf.DUMMYFUNCTION("""COMPUTED_VALUE"""),"Varies")</f>
        <v>Varies</v>
      </c>
      <c r="E22" s="15" t="str">
        <f ca="1">IFERROR(__xludf.DUMMYFUNCTION("""COMPUTED_VALUE"""),"Elective")</f>
        <v>Elective</v>
      </c>
      <c r="F22" s="15"/>
      <c r="G22" s="15"/>
    </row>
    <row r="23" spans="1:7">
      <c r="A23" s="14" t="str">
        <f ca="1">IFERROR(__xludf.DUMMYFUNCTION("""COMPUTED_VALUE"""),"BMED 8813")</f>
        <v>BMED 8813</v>
      </c>
      <c r="B23" s="14" t="str">
        <f ca="1">IFERROR(__xludf.DUMMYFUNCTION("""COMPUTED_VALUE"""),"Advanced Topics in Biomedical Ultrasound")</f>
        <v>Advanced Topics in Biomedical Ultrasound</v>
      </c>
      <c r="C23" s="14" t="str">
        <f ca="1">IFERROR(__xludf.DUMMYFUNCTION("""COMPUTED_VALUE"""),"Fall")</f>
        <v>Fall</v>
      </c>
      <c r="D23" s="14" t="str">
        <f ca="1">IFERROR(__xludf.DUMMYFUNCTION("""COMPUTED_VALUE"""),"Varies")</f>
        <v>Varies</v>
      </c>
      <c r="E23" s="15" t="str">
        <f ca="1">IFERROR(__xludf.DUMMYFUNCTION("""COMPUTED_VALUE"""),"Elective")</f>
        <v>Elective</v>
      </c>
      <c r="F23" s="15"/>
      <c r="G23" s="15"/>
    </row>
    <row r="24" spans="1:7">
      <c r="A24" s="14" t="str">
        <f ca="1">IFERROR(__xludf.DUMMYFUNCTION("""COMPUTED_VALUE"""),"BMED 8813")</f>
        <v>BMED 8813</v>
      </c>
      <c r="B24" s="14" t="str">
        <f ca="1">IFERROR(__xludf.DUMMYFUNCTION("""COMPUTED_VALUE"""),"Advanced Medical Ultrasound")</f>
        <v>Advanced Medical Ultrasound</v>
      </c>
      <c r="C24" s="14" t="str">
        <f ca="1">IFERROR(__xludf.DUMMYFUNCTION("""COMPUTED_VALUE"""),"Fall")</f>
        <v>Fall</v>
      </c>
      <c r="D24" s="14" t="str">
        <f ca="1">IFERROR(__xludf.DUMMYFUNCTION("""COMPUTED_VALUE"""),"Varies")</f>
        <v>Varies</v>
      </c>
      <c r="E24" s="15" t="str">
        <f ca="1">IFERROR(__xludf.DUMMYFUNCTION("""COMPUTED_VALUE"""),"Elective")</f>
        <v>Elective</v>
      </c>
      <c r="F24" s="15"/>
      <c r="G24" s="15"/>
    </row>
    <row r="25" spans="1:7">
      <c r="A25" s="14" t="str">
        <f ca="1">IFERROR(__xludf.DUMMYFUNCTION("""COMPUTED_VALUE"""),"BMED 8813")</f>
        <v>BMED 8813</v>
      </c>
      <c r="B25" s="14" t="str">
        <f ca="1">IFERROR(__xludf.DUMMYFUNCTION("""COMPUTED_VALUE"""),"Robotics")</f>
        <v>Robotics</v>
      </c>
      <c r="C25" s="14" t="str">
        <f ca="1">IFERROR(__xludf.DUMMYFUNCTION("""COMPUTED_VALUE"""),"Spring")</f>
        <v>Spring</v>
      </c>
      <c r="D25" s="14" t="str">
        <f ca="1">IFERROR(__xludf.DUMMYFUNCTION("""COMPUTED_VALUE"""),"Every other Year")</f>
        <v>Every other Year</v>
      </c>
      <c r="E25" s="15" t="str">
        <f ca="1">IFERROR(__xludf.DUMMYFUNCTION("""COMPUTED_VALUE"""),"Elective")</f>
        <v>Elective</v>
      </c>
      <c r="F25" s="15"/>
      <c r="G25" s="15"/>
    </row>
    <row r="26" spans="1:7">
      <c r="A26" s="14" t="str">
        <f ca="1">IFERROR(__xludf.DUMMYFUNCTION("""COMPUTED_VALUE"""),"BMED 8813")</f>
        <v>BMED 8813</v>
      </c>
      <c r="B26" s="14" t="str">
        <f ca="1">IFERROR(__xludf.DUMMYFUNCTION("""COMPUTED_VALUE"""),"ImmunoEngineering")</f>
        <v>ImmunoEngineering</v>
      </c>
      <c r="C26" s="14" t="str">
        <f ca="1">IFERROR(__xludf.DUMMYFUNCTION("""COMPUTED_VALUE"""),"Fall")</f>
        <v>Fall</v>
      </c>
      <c r="D26" s="14" t="str">
        <f ca="1">IFERROR(__xludf.DUMMYFUNCTION("""COMPUTED_VALUE"""),"Every Year")</f>
        <v>Every Year</v>
      </c>
      <c r="E26" s="15" t="str">
        <f ca="1">IFERROR(__xludf.DUMMYFUNCTION("""COMPUTED_VALUE"""),"Elective")</f>
        <v>Elective</v>
      </c>
      <c r="F26" s="15"/>
      <c r="G26" s="15"/>
    </row>
    <row r="27" spans="1:7">
      <c r="A27" s="14" t="str">
        <f ca="1">IFERROR(__xludf.DUMMYFUNCTION("""COMPUTED_VALUE"""),"BMED 8813")</f>
        <v>BMED 8813</v>
      </c>
      <c r="B27" s="14" t="str">
        <f ca="1">IFERROR(__xludf.DUMMYFUNCTION("""COMPUTED_VALUE"""),"Special topics: Nanoengineering")</f>
        <v>Special topics: Nanoengineering</v>
      </c>
      <c r="C27" s="14" t="str">
        <f ca="1">IFERROR(__xludf.DUMMYFUNCTION("""COMPUTED_VALUE"""),"Varies")</f>
        <v>Varies</v>
      </c>
      <c r="D27" s="14" t="str">
        <f ca="1">IFERROR(__xludf.DUMMYFUNCTION("""COMPUTED_VALUE"""),"Varies")</f>
        <v>Varies</v>
      </c>
      <c r="E27" s="15" t="str">
        <f ca="1">IFERROR(__xludf.DUMMYFUNCTION("""COMPUTED_VALUE"""),"Elective")</f>
        <v>Elective</v>
      </c>
      <c r="F27" s="15"/>
      <c r="G27" s="15"/>
    </row>
    <row r="28" spans="1:7">
      <c r="A28" s="14" t="str">
        <f ca="1">IFERROR(__xludf.DUMMYFUNCTION("""COMPUTED_VALUE"""),"BMED 8813 AMI")</f>
        <v>BMED 8813 AMI</v>
      </c>
      <c r="B28" s="14" t="str">
        <f ca="1">IFERROR(__xludf.DUMMYFUNCTION("""COMPUTED_VALUE"""),"Advanced Medical Imaging Systems")</f>
        <v>Advanced Medical Imaging Systems</v>
      </c>
      <c r="C28" s="14" t="str">
        <f ca="1">IFERROR(__xludf.DUMMYFUNCTION("""COMPUTED_VALUE"""),"Spring")</f>
        <v>Spring</v>
      </c>
      <c r="D28" s="14" t="str">
        <f ca="1">IFERROR(__xludf.DUMMYFUNCTION("""COMPUTED_VALUE"""),"Varies")</f>
        <v>Varies</v>
      </c>
      <c r="E28" s="15" t="str">
        <f ca="1">IFERROR(__xludf.DUMMYFUNCTION("""COMPUTED_VALUE"""),"Elective")</f>
        <v>Elective</v>
      </c>
      <c r="F28" s="15"/>
      <c r="G28" s="15"/>
    </row>
    <row r="29" spans="1:7">
      <c r="A29" s="14" t="str">
        <f ca="1">IFERROR(__xludf.DUMMYFUNCTION("""COMPUTED_VALUE"""),"BMED 8813MLB")</f>
        <v>BMED 8813MLB</v>
      </c>
      <c r="B29" s="14" t="str">
        <f ca="1">IFERROR(__xludf.DUMMYFUNCTION("""COMPUTED_VALUE"""),"Special topics: Machine Learning in Biomedicine")</f>
        <v>Special topics: Machine Learning in Biomedicine</v>
      </c>
      <c r="C29" s="14" t="str">
        <f ca="1">IFERROR(__xludf.DUMMYFUNCTION("""COMPUTED_VALUE"""),"Fall")</f>
        <v>Fall</v>
      </c>
      <c r="D29" s="14" t="str">
        <f ca="1">IFERROR(__xludf.DUMMYFUNCTION("""COMPUTED_VALUE"""),"Every Year")</f>
        <v>Every Year</v>
      </c>
      <c r="E29" s="15" t="str">
        <f ca="1">IFERROR(__xludf.DUMMYFUNCTION("""COMPUTED_VALUE"""),"Elective")</f>
        <v>Elective</v>
      </c>
      <c r="F29" s="15"/>
      <c r="G29" s="15"/>
    </row>
    <row r="30" spans="1:7">
      <c r="A30" s="14" t="str">
        <f ca="1">IFERROR(__xludf.DUMMYFUNCTION("""COMPUTED_VALUE"""),"BMED 8813SCE")</f>
        <v>BMED 8813SCE</v>
      </c>
      <c r="B30" s="14" t="str">
        <f ca="1">IFERROR(__xludf.DUMMYFUNCTION("""COMPUTED_VALUE"""),"Special topics: Stem cell engineering")</f>
        <v>Special topics: Stem cell engineering</v>
      </c>
      <c r="C30" s="14" t="str">
        <f ca="1">IFERROR(__xludf.DUMMYFUNCTION("""COMPUTED_VALUE"""),"Varies")</f>
        <v>Varies</v>
      </c>
      <c r="D30" s="14" t="str">
        <f ca="1">IFERROR(__xludf.DUMMYFUNCTION("""COMPUTED_VALUE"""),"Varies")</f>
        <v>Varies</v>
      </c>
      <c r="E30" s="15" t="str">
        <f ca="1">IFERROR(__xludf.DUMMYFUNCTION("""COMPUTED_VALUE"""),"Elective")</f>
        <v>Elective</v>
      </c>
      <c r="F30" s="15"/>
      <c r="G30" s="15"/>
    </row>
    <row r="31" spans="1:7">
      <c r="A31" s="14" t="str">
        <f ca="1">IFERROR(__xludf.DUMMYFUNCTION("""COMPUTED_VALUE"""),"BMED 8823")</f>
        <v>BMED 8823</v>
      </c>
      <c r="B31" s="14" t="str">
        <f ca="1">IFERROR(__xludf.DUMMYFUNCTION("""COMPUTED_VALUE"""),"Computational Neuromechanics of Human Sensorimotor Control")</f>
        <v>Computational Neuromechanics of Human Sensorimotor Control</v>
      </c>
      <c r="C31" s="14" t="str">
        <f ca="1">IFERROR(__xludf.DUMMYFUNCTION("""COMPUTED_VALUE"""),"Varies")</f>
        <v>Varies</v>
      </c>
      <c r="D31" s="14" t="str">
        <f ca="1">IFERROR(__xludf.DUMMYFUNCTION("""COMPUTED_VALUE"""),"Varies")</f>
        <v>Varies</v>
      </c>
      <c r="E31" s="15" t="str">
        <f ca="1">IFERROR(__xludf.DUMMYFUNCTION("""COMPUTED_VALUE"""),"Elective")</f>
        <v>Elective</v>
      </c>
      <c r="F31" s="15"/>
      <c r="G31" s="15"/>
    </row>
    <row r="32" spans="1:7">
      <c r="A32" s="14" t="str">
        <f ca="1">IFERROR(__xludf.DUMMYFUNCTION("""COMPUTED_VALUE"""),"BMED 8823")</f>
        <v>BMED 8823</v>
      </c>
      <c r="B32" s="14" t="str">
        <f ca="1">IFERROR(__xludf.DUMMYFUNCTION("""COMPUTED_VALUE"""),"Clinical Experience for Engineers")</f>
        <v>Clinical Experience for Engineers</v>
      </c>
      <c r="C32" s="14" t="str">
        <f ca="1">IFERROR(__xludf.DUMMYFUNCTION("""COMPUTED_VALUE"""),"Summer")</f>
        <v>Summer</v>
      </c>
      <c r="D32" s="14" t="str">
        <f ca="1">IFERROR(__xludf.DUMMYFUNCTION("""COMPUTED_VALUE"""),"Varies")</f>
        <v>Varies</v>
      </c>
      <c r="E32" s="15" t="str">
        <f ca="1">IFERROR(__xludf.DUMMYFUNCTION("""COMPUTED_VALUE"""),"Elective")</f>
        <v>Elective</v>
      </c>
      <c r="F32" s="15"/>
      <c r="G32" s="15"/>
    </row>
    <row r="33" spans="1:7">
      <c r="A33" s="14" t="str">
        <f ca="1">IFERROR(__xludf.DUMMYFUNCTION("""COMPUTED_VALUE"""),"BMED 8823")</f>
        <v>BMED 8823</v>
      </c>
      <c r="B33" s="14" t="str">
        <f ca="1">IFERROR(__xludf.DUMMYFUNCTION("""COMPUTED_VALUE"""),"Algorithms for Bioinformatics")</f>
        <v>Algorithms for Bioinformatics</v>
      </c>
      <c r="C33" s="14" t="str">
        <f ca="1">IFERROR(__xludf.DUMMYFUNCTION("""COMPUTED_VALUE"""),"Fall")</f>
        <v>Fall</v>
      </c>
      <c r="D33" s="14" t="str">
        <f ca="1">IFERROR(__xludf.DUMMYFUNCTION("""COMPUTED_VALUE"""),"Every other Year")</f>
        <v>Every other Year</v>
      </c>
      <c r="E33" s="15" t="str">
        <f ca="1">IFERROR(__xludf.DUMMYFUNCTION("""COMPUTED_VALUE"""),"Elective")</f>
        <v>Elective</v>
      </c>
      <c r="F33" s="15"/>
      <c r="G33" s="15"/>
    </row>
    <row r="34" spans="1:7">
      <c r="A34" s="14" t="str">
        <f ca="1">IFERROR(__xludf.DUMMYFUNCTION("""COMPUTED_VALUE"""),"BMED/ECE 4784")</f>
        <v>BMED/ECE 4784</v>
      </c>
      <c r="B34" s="14" t="str">
        <f ca="1">IFERROR(__xludf.DUMMYFUNCTION("""COMPUTED_VALUE"""),"Engr electrophys")</f>
        <v>Engr electrophys</v>
      </c>
      <c r="C34" s="14" t="str">
        <f ca="1">IFERROR(__xludf.DUMMYFUNCTION("""COMPUTED_VALUE"""),"Fall")</f>
        <v>Fall</v>
      </c>
      <c r="D34" s="14" t="str">
        <f ca="1">IFERROR(__xludf.DUMMYFUNCTION("""COMPUTED_VALUE"""),"Every Year")</f>
        <v>Every Year</v>
      </c>
      <c r="E34" s="15" t="str">
        <f ca="1">IFERROR(__xludf.DUMMYFUNCTION("""COMPUTED_VALUE"""),"Elective")</f>
        <v>Elective</v>
      </c>
      <c r="F34" s="15"/>
      <c r="G34" s="15"/>
    </row>
    <row r="35" spans="1:7">
      <c r="A35" s="14" t="str">
        <f ca="1">IFERROR(__xludf.DUMMYFUNCTION("""COMPUTED_VALUE"""),"ChBE 6120")</f>
        <v>ChBE 6120</v>
      </c>
      <c r="B35" s="14" t="str">
        <f ca="1">IFERROR(__xludf.DUMMYFUNCTION("""COMPUTED_VALUE"""),"Molecular modeling")</f>
        <v>Molecular modeling</v>
      </c>
      <c r="C35" s="14" t="str">
        <f ca="1">IFERROR(__xludf.DUMMYFUNCTION("""COMPUTED_VALUE"""),"Varies")</f>
        <v>Varies</v>
      </c>
      <c r="D35" s="14" t="str">
        <f ca="1">IFERROR(__xludf.DUMMYFUNCTION("""COMPUTED_VALUE"""),"Varies")</f>
        <v>Varies</v>
      </c>
      <c r="E35" s="15" t="str">
        <f ca="1">IFERROR(__xludf.DUMMYFUNCTION("""COMPUTED_VALUE"""),"Elective")</f>
        <v>Elective</v>
      </c>
      <c r="F35" s="15"/>
      <c r="G35" s="15"/>
    </row>
    <row r="36" spans="1:7">
      <c r="A36" s="14" t="str">
        <f ca="1">IFERROR(__xludf.DUMMYFUNCTION("""COMPUTED_VALUE"""),"CHBE 6229")</f>
        <v>CHBE 6229</v>
      </c>
      <c r="B36" s="14" t="str">
        <f ca="1">IFERROR(__xludf.DUMMYFUNCTION("""COMPUTED_VALUE"""),"Introduction to MEMS")</f>
        <v>Introduction to MEMS</v>
      </c>
      <c r="C36" s="14" t="str">
        <f ca="1">IFERROR(__xludf.DUMMYFUNCTION("""COMPUTED_VALUE"""),"Fall")</f>
        <v>Fall</v>
      </c>
      <c r="D36" s="14" t="str">
        <f ca="1">IFERROR(__xludf.DUMMYFUNCTION("""COMPUTED_VALUE"""),"Every Year")</f>
        <v>Every Year</v>
      </c>
      <c r="E36" s="15" t="str">
        <f ca="1">IFERROR(__xludf.DUMMYFUNCTION("""COMPUTED_VALUE"""),"Elective")</f>
        <v>Elective</v>
      </c>
      <c r="F36" s="15"/>
      <c r="G36" s="15"/>
    </row>
    <row r="37" spans="1:7">
      <c r="A37" s="14" t="str">
        <f ca="1">IFERROR(__xludf.DUMMYFUNCTION("""COMPUTED_VALUE"""),"CHBE 6765")</f>
        <v>CHBE 6765</v>
      </c>
      <c r="B37" s="14" t="str">
        <f ca="1">IFERROR(__xludf.DUMMYFUNCTION("""COMPUTED_VALUE"""),"Drug Design, Development, and Delivery")</f>
        <v>Drug Design, Development, and Delivery</v>
      </c>
      <c r="C37" s="14" t="str">
        <f ca="1">IFERROR(__xludf.DUMMYFUNCTION("""COMPUTED_VALUE"""),"Spring")</f>
        <v>Spring</v>
      </c>
      <c r="D37" s="14" t="str">
        <f ca="1">IFERROR(__xludf.DUMMYFUNCTION("""COMPUTED_VALUE"""),"Every Year")</f>
        <v>Every Year</v>
      </c>
      <c r="E37" s="15" t="str">
        <f ca="1">IFERROR(__xludf.DUMMYFUNCTION("""COMPUTED_VALUE"""),"Elective")</f>
        <v>Elective</v>
      </c>
      <c r="F37" s="15"/>
      <c r="G37" s="15"/>
    </row>
    <row r="38" spans="1:7">
      <c r="A38" s="14" t="str">
        <f ca="1">IFERROR(__xludf.DUMMYFUNCTION("""COMPUTED_VALUE"""),"CS 6601")</f>
        <v>CS 6601</v>
      </c>
      <c r="B38" s="14" t="str">
        <f ca="1">IFERROR(__xludf.DUMMYFUNCTION("""COMPUTED_VALUE"""),"Artificial intellengce")</f>
        <v>Artificial intellengce</v>
      </c>
      <c r="C38" s="14" t="str">
        <f ca="1">IFERROR(__xludf.DUMMYFUNCTION("""COMPUTED_VALUE"""),"Fall/Spring")</f>
        <v>Fall/Spring</v>
      </c>
      <c r="D38" s="14" t="str">
        <f ca="1">IFERROR(__xludf.DUMMYFUNCTION("""COMPUTED_VALUE"""),"Every Year")</f>
        <v>Every Year</v>
      </c>
      <c r="E38" s="15" t="str">
        <f ca="1">IFERROR(__xludf.DUMMYFUNCTION("""COMPUTED_VALUE"""),"Elective")</f>
        <v>Elective</v>
      </c>
      <c r="F38" s="15"/>
      <c r="G38" s="15"/>
    </row>
    <row r="39" spans="1:7">
      <c r="A39" s="14" t="str">
        <f ca="1">IFERROR(__xludf.DUMMYFUNCTION("""COMPUTED_VALUE"""),"CSE 6301")</f>
        <v>CSE 6301</v>
      </c>
      <c r="B39" s="14" t="str">
        <f ca="1">IFERROR(__xludf.DUMMYFUNCTION("""COMPUTED_VALUE"""),"Bioinform &amp; Comp Biol")</f>
        <v>Bioinform &amp; Comp Biol</v>
      </c>
      <c r="C39" s="14" t="str">
        <f ca="1">IFERROR(__xludf.DUMMYFUNCTION("""COMPUTED_VALUE"""),"Spring")</f>
        <v>Spring</v>
      </c>
      <c r="D39" s="14" t="str">
        <f ca="1">IFERROR(__xludf.DUMMYFUNCTION("""COMPUTED_VALUE"""),"Every Year")</f>
        <v>Every Year</v>
      </c>
      <c r="E39" s="15" t="str">
        <f ca="1">IFERROR(__xludf.DUMMYFUNCTION("""COMPUTED_VALUE"""),"Elective")</f>
        <v>Elective</v>
      </c>
      <c r="F39" s="15"/>
      <c r="G39" s="15"/>
    </row>
    <row r="40" spans="1:7">
      <c r="A40" s="14" t="str">
        <f ca="1">IFERROR(__xludf.DUMMYFUNCTION("""COMPUTED_VALUE"""),"ECE 6200")</f>
        <v>ECE 6200</v>
      </c>
      <c r="B40" s="14" t="str">
        <f ca="1">IFERROR(__xludf.DUMMYFUNCTION("""COMPUTED_VALUE"""),"Biomed application of MEMS")</f>
        <v>Biomed application of MEMS</v>
      </c>
      <c r="C40" s="14" t="str">
        <f ca="1">IFERROR(__xludf.DUMMYFUNCTION("""COMPUTED_VALUE"""),"Spring")</f>
        <v>Spring</v>
      </c>
      <c r="D40" s="14" t="str">
        <f ca="1">IFERROR(__xludf.DUMMYFUNCTION("""COMPUTED_VALUE"""),"Every Year")</f>
        <v>Every Year</v>
      </c>
      <c r="E40" s="15" t="str">
        <f ca="1">IFERROR(__xludf.DUMMYFUNCTION("""COMPUTED_VALUE"""),"Elective")</f>
        <v>Elective</v>
      </c>
      <c r="F40" s="15"/>
      <c r="G40" s="15"/>
    </row>
    <row r="41" spans="1:7">
      <c r="A41" s="14" t="str">
        <f ca="1">IFERROR(__xludf.DUMMYFUNCTION("""COMPUTED_VALUE"""),"ECE 8803")</f>
        <v>ECE 8803</v>
      </c>
      <c r="B41" s="14" t="str">
        <f ca="1">IFERROR(__xludf.DUMMYFUNCTION("""COMPUTED_VALUE"""),"Implantable Microelectronic Devices")</f>
        <v>Implantable Microelectronic Devices</v>
      </c>
      <c r="C41" s="14" t="str">
        <f ca="1">IFERROR(__xludf.DUMMYFUNCTION("""COMPUTED_VALUE"""),"Varies")</f>
        <v>Varies</v>
      </c>
      <c r="D41" s="14" t="str">
        <f ca="1">IFERROR(__xludf.DUMMYFUNCTION("""COMPUTED_VALUE"""),"Varies")</f>
        <v>Varies</v>
      </c>
      <c r="E41" s="15" t="str">
        <f ca="1">IFERROR(__xludf.DUMMYFUNCTION("""COMPUTED_VALUE"""),"Elective")</f>
        <v>Elective</v>
      </c>
      <c r="F41" s="15"/>
      <c r="G41" s="15"/>
    </row>
    <row r="42" spans="1:7">
      <c r="A42" s="14" t="str">
        <f ca="1">IFERROR(__xludf.DUMMYFUNCTION("""COMPUTED_VALUE"""),"ECE 8803")</f>
        <v>ECE 8803</v>
      </c>
      <c r="B42" s="14" t="str">
        <f ca="1">IFERROR(__xludf.DUMMYFUNCTION("""COMPUTED_VALUE"""),"Implantable Microelectronic Devices")</f>
        <v>Implantable Microelectronic Devices</v>
      </c>
      <c r="C42" s="14" t="str">
        <f ca="1">IFERROR(__xludf.DUMMYFUNCTION("""COMPUTED_VALUE"""),"Varies")</f>
        <v>Varies</v>
      </c>
      <c r="D42" s="14" t="str">
        <f ca="1">IFERROR(__xludf.DUMMYFUNCTION("""COMPUTED_VALUE"""),"Varies")</f>
        <v>Varies</v>
      </c>
      <c r="E42" s="15" t="str">
        <f ca="1">IFERROR(__xludf.DUMMYFUNCTION("""COMPUTED_VALUE"""),"Elective")</f>
        <v>Elective</v>
      </c>
      <c r="F42" s="15"/>
      <c r="G42" s="15"/>
    </row>
    <row r="43" spans="1:7">
      <c r="A43" s="14" t="str">
        <f ca="1">IFERROR(__xludf.DUMMYFUNCTION("""COMPUTED_VALUE"""),"ECE 8813")</f>
        <v>ECE 8813</v>
      </c>
      <c r="B43" s="14" t="str">
        <f ca="1">IFERROR(__xludf.DUMMYFUNCTION("""COMPUTED_VALUE"""),"Special topics: Medical ultrasound")</f>
        <v>Special topics: Medical ultrasound</v>
      </c>
      <c r="C43" s="14" t="str">
        <f ca="1">IFERROR(__xludf.DUMMYFUNCTION("""COMPUTED_VALUE"""),"Varies")</f>
        <v>Varies</v>
      </c>
      <c r="D43" s="14" t="str">
        <f ca="1">IFERROR(__xludf.DUMMYFUNCTION("""COMPUTED_VALUE"""),"Varies")</f>
        <v>Varies</v>
      </c>
      <c r="E43" s="15" t="str">
        <f ca="1">IFERROR(__xludf.DUMMYFUNCTION("""COMPUTED_VALUE"""),"Elective")</f>
        <v>Elective</v>
      </c>
      <c r="F43" s="15"/>
      <c r="G43" s="15"/>
    </row>
    <row r="44" spans="1:7">
      <c r="A44" s="14" t="str">
        <f ca="1">IFERROR(__xludf.DUMMYFUNCTION("""COMPUTED_VALUE"""),"GH 509")</f>
        <v>GH 509</v>
      </c>
      <c r="B44" s="14" t="str">
        <f ca="1">IFERROR(__xludf.DUMMYFUNCTION("""COMPUTED_VALUE"""),"Knowledge translation from research to policy to practice")</f>
        <v>Knowledge translation from research to policy to practice</v>
      </c>
      <c r="C44" s="14" t="str">
        <f ca="1">IFERROR(__xludf.DUMMYFUNCTION("""COMPUTED_VALUE"""),"Varies")</f>
        <v>Varies</v>
      </c>
      <c r="D44" s="14" t="str">
        <f ca="1">IFERROR(__xludf.DUMMYFUNCTION("""COMPUTED_VALUE"""),"Varies")</f>
        <v>Varies</v>
      </c>
      <c r="E44" s="15" t="str">
        <f ca="1">IFERROR(__xludf.DUMMYFUNCTION("""COMPUTED_VALUE"""),"Elective")</f>
        <v>Elective</v>
      </c>
      <c r="F44" s="15"/>
      <c r="G44" s="15"/>
    </row>
    <row r="45" spans="1:7">
      <c r="A45" s="14" t="str">
        <f ca="1">IFERROR(__xludf.DUMMYFUNCTION("""COMPUTED_VALUE"""),"IBS 506R")</f>
        <v>IBS 506R</v>
      </c>
      <c r="B45" s="14" t="str">
        <f ca="1">IFERROR(__xludf.DUMMYFUNCTION("""COMPUTED_VALUE"""),"Basic mechanisms of neurological diseases")</f>
        <v>Basic mechanisms of neurological diseases</v>
      </c>
      <c r="C45" s="14" t="str">
        <f ca="1">IFERROR(__xludf.DUMMYFUNCTION("""COMPUTED_VALUE"""),"Varies")</f>
        <v>Varies</v>
      </c>
      <c r="D45" s="14" t="str">
        <f ca="1">IFERROR(__xludf.DUMMYFUNCTION("""COMPUTED_VALUE"""),"Varies")</f>
        <v>Varies</v>
      </c>
      <c r="E45" s="15" t="str">
        <f ca="1">IFERROR(__xludf.DUMMYFUNCTION("""COMPUTED_VALUE"""),"Elective")</f>
        <v>Elective</v>
      </c>
      <c r="F45" s="15"/>
      <c r="G45" s="15"/>
    </row>
    <row r="46" spans="1:7">
      <c r="A46" s="14" t="str">
        <f ca="1">IFERROR(__xludf.DUMMYFUNCTION("""COMPUTED_VALUE"""),"IBS 538")</f>
        <v>IBS 538</v>
      </c>
      <c r="B46" s="14" t="str">
        <f ca="1">IFERROR(__xludf.DUMMYFUNCTION("""COMPUTED_VALUE"""),"Biostats design")</f>
        <v>Biostats design</v>
      </c>
      <c r="C46" s="14" t="str">
        <f ca="1">IFERROR(__xludf.DUMMYFUNCTION("""COMPUTED_VALUE"""),"Varies")</f>
        <v>Varies</v>
      </c>
      <c r="D46" s="14" t="str">
        <f ca="1">IFERROR(__xludf.DUMMYFUNCTION("""COMPUTED_VALUE"""),"Varies")</f>
        <v>Varies</v>
      </c>
      <c r="E46" s="15" t="str">
        <f ca="1">IFERROR(__xludf.DUMMYFUNCTION("""COMPUTED_VALUE"""),"Elective")</f>
        <v>Elective</v>
      </c>
      <c r="F46" s="15"/>
      <c r="G46" s="15"/>
    </row>
    <row r="47" spans="1:7">
      <c r="A47" s="14" t="str">
        <f ca="1">IFERROR(__xludf.DUMMYFUNCTION("""COMPUTED_VALUE"""),"IBS 570")</f>
        <v>IBS 570</v>
      </c>
      <c r="B47" s="14" t="str">
        <f ca="1">IFERROR(__xludf.DUMMYFUNCTION("""COMPUTED_VALUE"""),"Essentials of animal experimentation")</f>
        <v>Essentials of animal experimentation</v>
      </c>
      <c r="C47" s="14" t="str">
        <f ca="1">IFERROR(__xludf.DUMMYFUNCTION("""COMPUTED_VALUE"""),"Varies")</f>
        <v>Varies</v>
      </c>
      <c r="D47" s="14" t="str">
        <f ca="1">IFERROR(__xludf.DUMMYFUNCTION("""COMPUTED_VALUE"""),"Varies")</f>
        <v>Varies</v>
      </c>
      <c r="E47" s="15" t="str">
        <f ca="1">IFERROR(__xludf.DUMMYFUNCTION("""COMPUTED_VALUE"""),"Elective")</f>
        <v>Elective</v>
      </c>
      <c r="F47" s="15"/>
      <c r="G47" s="15"/>
    </row>
    <row r="48" spans="1:7">
      <c r="A48" s="14" t="str">
        <f ca="1">IFERROR(__xludf.DUMMYFUNCTION("""COMPUTED_VALUE"""),"ME/ID 4803")</f>
        <v>ME/ID 4803</v>
      </c>
      <c r="B48" s="14" t="str">
        <f ca="1">IFERROR(__xludf.DUMMYFUNCTION("""COMPUTED_VALUE"""),"Rehab and Assistive Tech Design")</f>
        <v>Rehab and Assistive Tech Design</v>
      </c>
      <c r="C48" s="14" t="str">
        <f ca="1">IFERROR(__xludf.DUMMYFUNCTION("""COMPUTED_VALUE"""),"Varies")</f>
        <v>Varies</v>
      </c>
      <c r="D48" s="14" t="str">
        <f ca="1">IFERROR(__xludf.DUMMYFUNCTION("""COMPUTED_VALUE"""),"Varies")</f>
        <v>Varies</v>
      </c>
      <c r="E48" s="15" t="str">
        <f ca="1">IFERROR(__xludf.DUMMYFUNCTION("""COMPUTED_VALUE"""),"Elective")</f>
        <v>Elective</v>
      </c>
      <c r="F48" s="15"/>
      <c r="G48" s="15"/>
    </row>
    <row r="49" spans="1:7">
      <c r="A49" s="14" t="str">
        <f ca="1">IFERROR(__xludf.DUMMYFUNCTION("""COMPUTED_VALUE"""),"PSYC 8020")</f>
        <v>PSYC 8020</v>
      </c>
      <c r="B49" s="14" t="str">
        <f ca="1">IFERROR(__xludf.DUMMYFUNCTION("""COMPUTED_VALUE"""),"Cognitive Aging")</f>
        <v>Cognitive Aging</v>
      </c>
      <c r="C49" s="14" t="str">
        <f ca="1">IFERROR(__xludf.DUMMYFUNCTION("""COMPUTED_VALUE"""),"Spring")</f>
        <v>Spring</v>
      </c>
      <c r="D49" s="14" t="str">
        <f ca="1">IFERROR(__xludf.DUMMYFUNCTION("""COMPUTED_VALUE"""),"Varies")</f>
        <v>Varies</v>
      </c>
      <c r="E49" s="15" t="str">
        <f ca="1">IFERROR(__xludf.DUMMYFUNCTION("""COMPUTED_VALUE"""),"Elective")</f>
        <v>Elective</v>
      </c>
      <c r="F49" s="15"/>
      <c r="G49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37"/>
  <sheetViews>
    <sheetView workbookViewId="0"/>
  </sheetViews>
  <sheetFormatPr defaultColWidth="14.42578125" defaultRowHeight="15.75" customHeight="1"/>
  <sheetData>
    <row r="1" spans="1:4">
      <c r="A1" s="16" t="s">
        <v>0</v>
      </c>
      <c r="B1" s="16" t="s">
        <v>1</v>
      </c>
      <c r="C1" s="16" t="s">
        <v>2</v>
      </c>
      <c r="D1" s="16" t="s">
        <v>3</v>
      </c>
    </row>
    <row r="2" spans="1:4">
      <c r="A2" s="4" t="s">
        <v>86</v>
      </c>
      <c r="B2" s="4" t="s">
        <v>87</v>
      </c>
      <c r="C2" s="4" t="s">
        <v>14</v>
      </c>
      <c r="D2" s="4" t="s">
        <v>14</v>
      </c>
    </row>
    <row r="3" spans="1:4">
      <c r="A3" s="4" t="s">
        <v>89</v>
      </c>
      <c r="B3" s="4" t="s">
        <v>90</v>
      </c>
      <c r="C3" s="4" t="s">
        <v>14</v>
      </c>
      <c r="D3" s="4" t="s">
        <v>14</v>
      </c>
    </row>
    <row r="4" spans="1:4">
      <c r="A4" s="4" t="s">
        <v>91</v>
      </c>
      <c r="B4" s="4" t="s">
        <v>92</v>
      </c>
      <c r="C4" s="4" t="s">
        <v>14</v>
      </c>
      <c r="D4" s="4" t="s">
        <v>14</v>
      </c>
    </row>
    <row r="5" spans="1:4">
      <c r="A5" s="4" t="s">
        <v>93</v>
      </c>
      <c r="B5" s="4" t="s">
        <v>94</v>
      </c>
      <c r="C5" s="4" t="s">
        <v>9</v>
      </c>
      <c r="D5" s="4" t="s">
        <v>17</v>
      </c>
    </row>
    <row r="6" spans="1:4">
      <c r="A6" s="4" t="s">
        <v>95</v>
      </c>
      <c r="B6" s="4" t="s">
        <v>87</v>
      </c>
      <c r="C6" s="4" t="s">
        <v>20</v>
      </c>
      <c r="D6" s="4" t="s">
        <v>10</v>
      </c>
    </row>
    <row r="7" spans="1:4">
      <c r="A7" s="4" t="s">
        <v>96</v>
      </c>
      <c r="B7" s="4" t="s">
        <v>97</v>
      </c>
      <c r="C7" s="4" t="s">
        <v>20</v>
      </c>
      <c r="D7" s="4" t="s">
        <v>14</v>
      </c>
    </row>
    <row r="8" spans="1:4">
      <c r="A8" s="4" t="s">
        <v>98</v>
      </c>
      <c r="B8" s="4" t="s">
        <v>99</v>
      </c>
      <c r="C8" s="4" t="s">
        <v>9</v>
      </c>
      <c r="D8" s="4" t="s">
        <v>14</v>
      </c>
    </row>
    <row r="9" spans="1:4">
      <c r="A9" s="4" t="s">
        <v>100</v>
      </c>
      <c r="B9" s="4" t="s">
        <v>101</v>
      </c>
      <c r="C9" s="4" t="s">
        <v>20</v>
      </c>
      <c r="D9" s="4" t="s">
        <v>10</v>
      </c>
    </row>
    <row r="10" spans="1:4">
      <c r="A10" s="4" t="s">
        <v>275</v>
      </c>
      <c r="B10" s="4" t="s">
        <v>103</v>
      </c>
      <c r="C10" s="4" t="s">
        <v>14</v>
      </c>
      <c r="D10" s="4" t="s">
        <v>14</v>
      </c>
    </row>
    <row r="11" spans="1:4">
      <c r="A11" s="4" t="s">
        <v>104</v>
      </c>
      <c r="B11" s="4" t="s">
        <v>105</v>
      </c>
      <c r="C11" s="4" t="s">
        <v>14</v>
      </c>
      <c r="D11" s="4" t="s">
        <v>14</v>
      </c>
    </row>
    <row r="12" spans="1:4">
      <c r="A12" s="4" t="s">
        <v>106</v>
      </c>
      <c r="B12" s="4" t="s">
        <v>107</v>
      </c>
      <c r="C12" s="4" t="s">
        <v>27</v>
      </c>
      <c r="D12" s="4" t="s">
        <v>10</v>
      </c>
    </row>
    <row r="13" spans="1:4">
      <c r="A13" s="4" t="s">
        <v>108</v>
      </c>
      <c r="B13" s="4" t="s">
        <v>109</v>
      </c>
      <c r="C13" s="4" t="s">
        <v>20</v>
      </c>
      <c r="D13" s="4" t="s">
        <v>10</v>
      </c>
    </row>
    <row r="14" spans="1:4">
      <c r="A14" s="4" t="s">
        <v>110</v>
      </c>
      <c r="B14" s="4" t="s">
        <v>111</v>
      </c>
      <c r="C14" s="4" t="s">
        <v>9</v>
      </c>
      <c r="D14" s="4" t="s">
        <v>10</v>
      </c>
    </row>
    <row r="15" spans="1:4">
      <c r="A15" s="4" t="s">
        <v>112</v>
      </c>
      <c r="B15" s="4" t="s">
        <v>113</v>
      </c>
      <c r="C15" s="4" t="s">
        <v>27</v>
      </c>
      <c r="D15" s="4" t="s">
        <v>10</v>
      </c>
    </row>
    <row r="16" spans="1:4">
      <c r="A16" s="4" t="s">
        <v>114</v>
      </c>
      <c r="B16" s="4" t="s">
        <v>115</v>
      </c>
      <c r="C16" s="4" t="s">
        <v>20</v>
      </c>
      <c r="D16" s="4" t="s">
        <v>10</v>
      </c>
    </row>
    <row r="17" spans="1:4">
      <c r="A17" s="4" t="s">
        <v>116</v>
      </c>
      <c r="B17" s="4" t="s">
        <v>117</v>
      </c>
      <c r="C17" s="4" t="s">
        <v>27</v>
      </c>
      <c r="D17" s="4" t="s">
        <v>10</v>
      </c>
    </row>
    <row r="18" spans="1:4">
      <c r="A18" s="4" t="s">
        <v>52</v>
      </c>
      <c r="B18" s="4" t="s">
        <v>118</v>
      </c>
      <c r="C18" s="4" t="s">
        <v>14</v>
      </c>
      <c r="D18" s="4" t="s">
        <v>14</v>
      </c>
    </row>
    <row r="19" spans="1:4">
      <c r="A19" s="4" t="s">
        <v>119</v>
      </c>
      <c r="B19" s="4" t="s">
        <v>120</v>
      </c>
      <c r="C19" s="4" t="s">
        <v>9</v>
      </c>
      <c r="D19" s="4" t="s">
        <v>10</v>
      </c>
    </row>
    <row r="20" spans="1:4">
      <c r="A20" s="4" t="s">
        <v>121</v>
      </c>
      <c r="B20" s="4" t="s">
        <v>122</v>
      </c>
      <c r="C20" s="4" t="s">
        <v>20</v>
      </c>
      <c r="D20" s="4" t="s">
        <v>10</v>
      </c>
    </row>
    <row r="21" spans="1:4">
      <c r="A21" s="4" t="s">
        <v>123</v>
      </c>
      <c r="B21" s="4" t="s">
        <v>124</v>
      </c>
      <c r="C21" s="4" t="s">
        <v>9</v>
      </c>
      <c r="D21" s="4" t="s">
        <v>10</v>
      </c>
    </row>
    <row r="22" spans="1:4">
      <c r="A22" s="4" t="s">
        <v>125</v>
      </c>
      <c r="B22" s="4" t="s">
        <v>126</v>
      </c>
      <c r="C22" s="4" t="s">
        <v>9</v>
      </c>
      <c r="D22" s="4" t="s">
        <v>10</v>
      </c>
    </row>
    <row r="23" spans="1:4">
      <c r="A23" s="4" t="s">
        <v>127</v>
      </c>
      <c r="B23" s="4" t="s">
        <v>128</v>
      </c>
      <c r="C23" s="4" t="s">
        <v>20</v>
      </c>
      <c r="D23" s="4" t="s">
        <v>10</v>
      </c>
    </row>
    <row r="24" spans="1:4">
      <c r="A24" s="4" t="s">
        <v>129</v>
      </c>
      <c r="B24" s="4" t="s">
        <v>130</v>
      </c>
      <c r="C24" s="4" t="s">
        <v>9</v>
      </c>
      <c r="D24" s="4" t="s">
        <v>10</v>
      </c>
    </row>
    <row r="25" spans="1:4">
      <c r="A25" s="4" t="s">
        <v>131</v>
      </c>
      <c r="B25" s="4" t="s">
        <v>132</v>
      </c>
      <c r="C25" s="4" t="s">
        <v>14</v>
      </c>
      <c r="D25" s="4" t="s">
        <v>14</v>
      </c>
    </row>
    <row r="26" spans="1:4">
      <c r="A26" s="4" t="s">
        <v>276</v>
      </c>
      <c r="B26" s="4" t="s">
        <v>134</v>
      </c>
      <c r="C26" s="4" t="s">
        <v>9</v>
      </c>
      <c r="D26" s="4" t="s">
        <v>10</v>
      </c>
    </row>
    <row r="27" spans="1:4">
      <c r="A27" s="4" t="s">
        <v>135</v>
      </c>
      <c r="B27" s="4" t="s">
        <v>136</v>
      </c>
      <c r="C27" s="4" t="s">
        <v>20</v>
      </c>
      <c r="D27" s="4" t="s">
        <v>10</v>
      </c>
    </row>
    <row r="28" spans="1:4">
      <c r="A28" s="4" t="s">
        <v>137</v>
      </c>
      <c r="B28" s="4" t="s">
        <v>138</v>
      </c>
      <c r="C28" s="4" t="s">
        <v>27</v>
      </c>
      <c r="D28" s="4" t="s">
        <v>10</v>
      </c>
    </row>
    <row r="29" spans="1:4">
      <c r="A29" s="4" t="s">
        <v>139</v>
      </c>
      <c r="B29" s="4" t="s">
        <v>140</v>
      </c>
      <c r="C29" s="4" t="s">
        <v>27</v>
      </c>
      <c r="D29" s="4" t="s">
        <v>10</v>
      </c>
    </row>
    <row r="30" spans="1:4">
      <c r="A30" s="4" t="s">
        <v>141</v>
      </c>
      <c r="B30" s="4" t="s">
        <v>142</v>
      </c>
      <c r="C30" s="4" t="s">
        <v>20</v>
      </c>
      <c r="D30" s="4" t="s">
        <v>10</v>
      </c>
    </row>
    <row r="31" spans="1:4">
      <c r="A31" s="4" t="s">
        <v>143</v>
      </c>
      <c r="B31" s="4" t="s">
        <v>144</v>
      </c>
      <c r="C31" s="4" t="s">
        <v>27</v>
      </c>
      <c r="D31" s="4" t="s">
        <v>10</v>
      </c>
    </row>
    <row r="32" spans="1:4">
      <c r="A32" s="4" t="s">
        <v>145</v>
      </c>
      <c r="B32" s="4" t="s">
        <v>146</v>
      </c>
      <c r="C32" s="4" t="s">
        <v>20</v>
      </c>
      <c r="D32" s="4" t="s">
        <v>10</v>
      </c>
    </row>
    <row r="33" spans="1:4">
      <c r="A33" s="4" t="s">
        <v>147</v>
      </c>
      <c r="B33" s="4" t="s">
        <v>148</v>
      </c>
      <c r="C33" s="4" t="s">
        <v>14</v>
      </c>
      <c r="D33" s="4" t="s">
        <v>14</v>
      </c>
    </row>
    <row r="34" spans="1:4">
      <c r="A34" s="4" t="s">
        <v>149</v>
      </c>
      <c r="B34" s="4" t="s">
        <v>150</v>
      </c>
      <c r="C34" s="4" t="s">
        <v>20</v>
      </c>
      <c r="D34" s="4" t="s">
        <v>14</v>
      </c>
    </row>
    <row r="35" spans="1:4">
      <c r="A35" s="4" t="s">
        <v>151</v>
      </c>
      <c r="B35" s="4" t="s">
        <v>152</v>
      </c>
      <c r="C35" s="4" t="s">
        <v>9</v>
      </c>
      <c r="D35" s="4" t="s">
        <v>10</v>
      </c>
    </row>
    <row r="36" spans="1:4">
      <c r="A36" s="4" t="s">
        <v>153</v>
      </c>
      <c r="B36" s="4" t="s">
        <v>154</v>
      </c>
      <c r="C36" s="4" t="s">
        <v>9</v>
      </c>
      <c r="D36" s="4" t="s">
        <v>10</v>
      </c>
    </row>
    <row r="37" spans="1:4">
      <c r="A37" s="4" t="s">
        <v>155</v>
      </c>
      <c r="B37" s="4" t="s">
        <v>156</v>
      </c>
      <c r="C37" s="4" t="s">
        <v>20</v>
      </c>
      <c r="D37" s="4" t="s">
        <v>10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38"/>
  <sheetViews>
    <sheetView topLeftCell="B1" workbookViewId="0"/>
  </sheetViews>
  <sheetFormatPr defaultColWidth="14.42578125" defaultRowHeight="15.75" customHeight="1"/>
  <sheetData>
    <row r="1" spans="1:4">
      <c r="A1" s="16" t="s">
        <v>0</v>
      </c>
      <c r="B1" s="16" t="s">
        <v>1</v>
      </c>
      <c r="C1" s="16" t="s">
        <v>2</v>
      </c>
      <c r="D1" s="16" t="s">
        <v>3</v>
      </c>
    </row>
    <row r="2" spans="1:4">
      <c r="A2" s="4" t="s">
        <v>7</v>
      </c>
      <c r="B2" s="4" t="s">
        <v>8</v>
      </c>
      <c r="C2" s="4" t="s">
        <v>9</v>
      </c>
      <c r="D2" s="4" t="s">
        <v>10</v>
      </c>
    </row>
    <row r="3" spans="1:4">
      <c r="A3" s="4" t="s">
        <v>12</v>
      </c>
      <c r="B3" s="4" t="s">
        <v>13</v>
      </c>
      <c r="C3" s="4" t="s">
        <v>14</v>
      </c>
      <c r="D3" s="4" t="s">
        <v>14</v>
      </c>
    </row>
    <row r="4" spans="1:4">
      <c r="A4" s="4" t="s">
        <v>15</v>
      </c>
      <c r="B4" s="4" t="s">
        <v>16</v>
      </c>
      <c r="C4" s="4" t="s">
        <v>9</v>
      </c>
      <c r="D4" s="4" t="s">
        <v>17</v>
      </c>
    </row>
    <row r="5" spans="1:4">
      <c r="A5" s="4" t="s">
        <v>18</v>
      </c>
      <c r="B5" s="4" t="s">
        <v>19</v>
      </c>
      <c r="C5" s="4" t="s">
        <v>20</v>
      </c>
      <c r="D5" s="4" t="s">
        <v>10</v>
      </c>
    </row>
    <row r="6" spans="1:4">
      <c r="A6" s="4" t="s">
        <v>21</v>
      </c>
      <c r="B6" s="4" t="s">
        <v>22</v>
      </c>
      <c r="C6" s="4" t="s">
        <v>9</v>
      </c>
      <c r="D6" s="4" t="s">
        <v>17</v>
      </c>
    </row>
    <row r="7" spans="1:4">
      <c r="A7" s="4" t="s">
        <v>23</v>
      </c>
      <c r="B7" s="4" t="s">
        <v>24</v>
      </c>
      <c r="C7" s="4" t="s">
        <v>20</v>
      </c>
      <c r="D7" s="4" t="s">
        <v>17</v>
      </c>
    </row>
    <row r="8" spans="1:4">
      <c r="A8" s="4" t="s">
        <v>25</v>
      </c>
      <c r="B8" s="4" t="s">
        <v>26</v>
      </c>
      <c r="C8" s="4" t="s">
        <v>27</v>
      </c>
      <c r="D8" s="4" t="s">
        <v>10</v>
      </c>
    </row>
    <row r="9" spans="1:4">
      <c r="A9" s="4" t="s">
        <v>28</v>
      </c>
      <c r="B9" s="4" t="s">
        <v>29</v>
      </c>
      <c r="C9" s="4" t="s">
        <v>9</v>
      </c>
      <c r="D9" s="4" t="s">
        <v>10</v>
      </c>
    </row>
    <row r="10" spans="1:4">
      <c r="A10" s="4" t="s">
        <v>28</v>
      </c>
      <c r="B10" s="4" t="s">
        <v>30</v>
      </c>
      <c r="C10" s="4" t="s">
        <v>9</v>
      </c>
      <c r="D10" s="4" t="s">
        <v>17</v>
      </c>
    </row>
    <row r="11" spans="1:4">
      <c r="A11" s="4" t="s">
        <v>31</v>
      </c>
      <c r="B11" s="4" t="s">
        <v>32</v>
      </c>
      <c r="C11" s="4" t="s">
        <v>20</v>
      </c>
      <c r="D11" s="4" t="s">
        <v>10</v>
      </c>
    </row>
    <row r="12" spans="1:4">
      <c r="A12" s="4" t="s">
        <v>33</v>
      </c>
      <c r="B12" s="4" t="s">
        <v>34</v>
      </c>
      <c r="C12" s="4" t="s">
        <v>20</v>
      </c>
      <c r="D12" s="4" t="s">
        <v>10</v>
      </c>
    </row>
    <row r="13" spans="1:4">
      <c r="A13" s="4" t="s">
        <v>35</v>
      </c>
      <c r="B13" s="4" t="s">
        <v>36</v>
      </c>
      <c r="C13" s="4" t="s">
        <v>20</v>
      </c>
      <c r="D13" s="4" t="s">
        <v>10</v>
      </c>
    </row>
    <row r="14" spans="1:4">
      <c r="A14" s="4" t="s">
        <v>37</v>
      </c>
      <c r="B14" s="4" t="s">
        <v>38</v>
      </c>
      <c r="C14" s="4" t="s">
        <v>9</v>
      </c>
      <c r="D14" s="4" t="s">
        <v>10</v>
      </c>
    </row>
    <row r="15" spans="1:4">
      <c r="A15" s="4" t="s">
        <v>39</v>
      </c>
      <c r="B15" s="4" t="s">
        <v>40</v>
      </c>
      <c r="C15" s="4" t="s">
        <v>9</v>
      </c>
      <c r="D15" s="4" t="s">
        <v>10</v>
      </c>
    </row>
    <row r="16" spans="1:4">
      <c r="A16" s="4" t="s">
        <v>41</v>
      </c>
      <c r="B16" s="4" t="s">
        <v>42</v>
      </c>
      <c r="C16" s="4" t="s">
        <v>20</v>
      </c>
      <c r="D16" s="4" t="s">
        <v>14</v>
      </c>
    </row>
    <row r="17" spans="1:4">
      <c r="A17" s="4" t="s">
        <v>43</v>
      </c>
      <c r="B17" s="4" t="s">
        <v>42</v>
      </c>
      <c r="C17" s="4" t="s">
        <v>27</v>
      </c>
      <c r="D17" s="4" t="s">
        <v>10</v>
      </c>
    </row>
    <row r="18" spans="1:4">
      <c r="A18" s="4" t="s">
        <v>44</v>
      </c>
      <c r="B18" s="4" t="s">
        <v>45</v>
      </c>
      <c r="C18" s="4" t="s">
        <v>20</v>
      </c>
      <c r="D18" s="4" t="s">
        <v>10</v>
      </c>
    </row>
    <row r="19" spans="1:4">
      <c r="A19" s="4" t="s">
        <v>46</v>
      </c>
      <c r="B19" s="4" t="s">
        <v>47</v>
      </c>
      <c r="C19" s="4" t="s">
        <v>14</v>
      </c>
      <c r="D19" s="4" t="s">
        <v>14</v>
      </c>
    </row>
    <row r="20" spans="1:4">
      <c r="A20" s="4" t="s">
        <v>48</v>
      </c>
      <c r="B20" s="4" t="s">
        <v>49</v>
      </c>
      <c r="C20" s="4" t="s">
        <v>9</v>
      </c>
      <c r="D20" s="4" t="s">
        <v>10</v>
      </c>
    </row>
    <row r="21" spans="1:4">
      <c r="A21" s="4" t="s">
        <v>50</v>
      </c>
      <c r="B21" s="4" t="s">
        <v>51</v>
      </c>
      <c r="C21" s="4" t="s">
        <v>9</v>
      </c>
      <c r="D21" s="4" t="s">
        <v>10</v>
      </c>
    </row>
    <row r="22" spans="1:4">
      <c r="A22" s="4" t="s">
        <v>52</v>
      </c>
      <c r="B22" s="4" t="s">
        <v>53</v>
      </c>
      <c r="C22" s="4" t="s">
        <v>9</v>
      </c>
      <c r="D22" s="4" t="s">
        <v>14</v>
      </c>
    </row>
    <row r="23" spans="1:4">
      <c r="A23" s="4" t="s">
        <v>54</v>
      </c>
      <c r="B23" s="4" t="s">
        <v>55</v>
      </c>
      <c r="C23" s="4" t="s">
        <v>9</v>
      </c>
      <c r="D23" s="4" t="s">
        <v>10</v>
      </c>
    </row>
    <row r="24" spans="1:4">
      <c r="A24" s="4" t="s">
        <v>56</v>
      </c>
      <c r="B24" s="4" t="s">
        <v>57</v>
      </c>
      <c r="C24" s="4" t="s">
        <v>9</v>
      </c>
      <c r="D24" s="4" t="s">
        <v>10</v>
      </c>
    </row>
    <row r="25" spans="1:4">
      <c r="A25" s="4" t="s">
        <v>58</v>
      </c>
      <c r="B25" s="4" t="s">
        <v>59</v>
      </c>
      <c r="C25" s="4" t="s">
        <v>20</v>
      </c>
      <c r="D25" s="4" t="s">
        <v>10</v>
      </c>
    </row>
    <row r="26" spans="1:4">
      <c r="A26" s="4" t="s">
        <v>60</v>
      </c>
      <c r="B26" s="4" t="s">
        <v>61</v>
      </c>
      <c r="C26" s="4" t="s">
        <v>20</v>
      </c>
      <c r="D26" s="4" t="s">
        <v>10</v>
      </c>
    </row>
    <row r="27" spans="1:4">
      <c r="A27" s="4" t="s">
        <v>62</v>
      </c>
      <c r="B27" s="4" t="s">
        <v>63</v>
      </c>
      <c r="C27" s="4" t="s">
        <v>20</v>
      </c>
      <c r="D27" s="4" t="s">
        <v>14</v>
      </c>
    </row>
    <row r="28" spans="1:4">
      <c r="A28" s="4" t="s">
        <v>64</v>
      </c>
      <c r="B28" s="4" t="s">
        <v>65</v>
      </c>
      <c r="C28" s="4" t="s">
        <v>9</v>
      </c>
      <c r="D28" s="4" t="s">
        <v>10</v>
      </c>
    </row>
    <row r="29" spans="1:4">
      <c r="A29" s="4" t="s">
        <v>66</v>
      </c>
      <c r="B29" s="4" t="s">
        <v>67</v>
      </c>
      <c r="C29" s="4" t="s">
        <v>9</v>
      </c>
      <c r="D29" s="4" t="s">
        <v>10</v>
      </c>
    </row>
    <row r="30" spans="1:4">
      <c r="A30" s="4" t="s">
        <v>68</v>
      </c>
      <c r="B30" s="4" t="s">
        <v>69</v>
      </c>
      <c r="C30" s="4" t="s">
        <v>9</v>
      </c>
      <c r="D30" s="4" t="s">
        <v>10</v>
      </c>
    </row>
    <row r="31" spans="1:4">
      <c r="A31" s="4" t="s">
        <v>70</v>
      </c>
      <c r="B31" s="4" t="s">
        <v>71</v>
      </c>
      <c r="C31" s="4" t="s">
        <v>9</v>
      </c>
      <c r="D31" s="4" t="s">
        <v>10</v>
      </c>
    </row>
    <row r="32" spans="1:4">
      <c r="A32" s="4" t="s">
        <v>72</v>
      </c>
      <c r="B32" s="4" t="s">
        <v>73</v>
      </c>
      <c r="C32" s="4" t="s">
        <v>20</v>
      </c>
      <c r="D32" s="4" t="s">
        <v>14</v>
      </c>
    </row>
    <row r="33" spans="1:4">
      <c r="A33" s="4" t="s">
        <v>74</v>
      </c>
      <c r="B33" s="4" t="s">
        <v>75</v>
      </c>
      <c r="C33" s="4" t="s">
        <v>9</v>
      </c>
      <c r="D33" s="4" t="s">
        <v>10</v>
      </c>
    </row>
    <row r="34" spans="1:4">
      <c r="A34" s="4" t="s">
        <v>76</v>
      </c>
      <c r="B34" s="4" t="s">
        <v>77</v>
      </c>
      <c r="C34" s="4" t="s">
        <v>27</v>
      </c>
      <c r="D34" s="4" t="s">
        <v>10</v>
      </c>
    </row>
    <row r="35" spans="1:4">
      <c r="A35" s="4" t="s">
        <v>78</v>
      </c>
      <c r="B35" s="4" t="s">
        <v>79</v>
      </c>
      <c r="C35" s="4" t="s">
        <v>9</v>
      </c>
      <c r="D35" s="4" t="s">
        <v>10</v>
      </c>
    </row>
    <row r="36" spans="1:4">
      <c r="A36" s="4" t="s">
        <v>80</v>
      </c>
      <c r="B36" s="4" t="s">
        <v>81</v>
      </c>
      <c r="C36" s="4" t="s">
        <v>9</v>
      </c>
      <c r="D36" s="4" t="s">
        <v>10</v>
      </c>
    </row>
    <row r="37" spans="1:4">
      <c r="A37" s="4" t="s">
        <v>82</v>
      </c>
      <c r="B37" s="4" t="s">
        <v>83</v>
      </c>
      <c r="C37" s="4" t="s">
        <v>9</v>
      </c>
      <c r="D37" s="4" t="s">
        <v>10</v>
      </c>
    </row>
    <row r="38" spans="1:4">
      <c r="A38" s="4" t="s">
        <v>84</v>
      </c>
      <c r="B38" s="4" t="s">
        <v>85</v>
      </c>
      <c r="C38" s="4" t="s">
        <v>20</v>
      </c>
      <c r="D38" s="4" t="s">
        <v>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All-Current</vt:lpstr>
      <vt:lpstr>Bioscience-Current</vt:lpstr>
      <vt:lpstr>Engineering-Current</vt:lpstr>
      <vt:lpstr>DataScience-Current</vt:lpstr>
      <vt:lpstr>Elective-Current</vt:lpstr>
      <vt:lpstr>DataScience-Former</vt:lpstr>
      <vt:lpstr>Engineering-Former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Jordan, Patricia A</dc:creator>
  <cp:lastModifiedBy>Jordan, Patricia A</cp:lastModifiedBy>
  <dcterms:created xsi:type="dcterms:W3CDTF">2021-04-02T19:05:59Z</dcterms:created>
  <dcterms:modified xsi:type="dcterms:W3CDTF">2022-03-03T16:29:18Z</dcterms:modified>
</cp:coreProperties>
</file>